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730" windowHeight="11700" tabRatio="967" firstSheet="15" activeTab="34"/>
  </bookViews>
  <sheets>
    <sheet name="Memória" sheetId="1" r:id="rId1"/>
    <sheet name="Alv15" sheetId="4" r:id="rId2"/>
    <sheet name="Alv20" sheetId="31" r:id="rId3"/>
    <sheet name="Encun" sheetId="42" r:id="rId4"/>
    <sheet name="Ver_Jan" sheetId="15" r:id="rId5"/>
    <sheet name="Con_Ver" sheetId="53" r:id="rId6"/>
    <sheet name="Ver_Por" sheetId="16" r:id="rId7"/>
    <sheet name="Cob" sheetId="7" r:id="rId8"/>
    <sheet name="Chap_Par" sheetId="5" r:id="rId9"/>
    <sheet name="Reb_Par" sheetId="37" r:id="rId10"/>
    <sheet name="Embç_Par" sheetId="33" r:id="rId11"/>
    <sheet name="Cerâm_Par" sheetId="34" r:id="rId12"/>
    <sheet name="Selad_Par" sheetId="38" r:id="rId13"/>
    <sheet name="Emass_Par" sheetId="39" r:id="rId14"/>
    <sheet name="Pint_Epox_Par" sheetId="40" r:id="rId15"/>
    <sheet name="Pint_Epox_Demarc" sheetId="54" r:id="rId16"/>
    <sheet name="Pint_Acr_Par" sheetId="41" r:id="rId17"/>
    <sheet name="Chap_Tet" sheetId="35" r:id="rId18"/>
    <sheet name="Reb_Tet" sheetId="48" r:id="rId19"/>
    <sheet name="Emass_Tet" sheetId="49" r:id="rId20"/>
    <sheet name="Pint_Tet" sheetId="50" r:id="rId21"/>
    <sheet name="For_Ges" sheetId="36" r:id="rId22"/>
    <sheet name="Emass_For_Ges" sheetId="51" r:id="rId23"/>
    <sheet name="Pint_For_Ges" sheetId="52" r:id="rId24"/>
    <sheet name="Pis_Porce" sheetId="43" r:id="rId25"/>
    <sheet name="Pis_Cer" sheetId="44" r:id="rId26"/>
    <sheet name="Pis_Conc_Poli" sheetId="45" r:id="rId27"/>
    <sheet name="Pis_Grani" sheetId="46" r:id="rId28"/>
    <sheet name="Con_Pis" sheetId="21" r:id="rId29"/>
    <sheet name="Piso_Borracha" sheetId="56" r:id="rId30"/>
    <sheet name="Passeio" sheetId="23" r:id="rId31"/>
    <sheet name="Soleira" sheetId="47" r:id="rId32"/>
    <sheet name="Rodape" sheetId="25" r:id="rId33"/>
    <sheet name="Esquad" sheetId="27" r:id="rId34"/>
    <sheet name="Diver" sheetId="8" r:id="rId35"/>
    <sheet name="Rev_Cer_Fachada" sheetId="55" r:id="rId36"/>
  </sheets>
  <definedNames>
    <definedName name="_xlnm.Print_Titles" localSheetId="3">Encun!$1:$4</definedName>
  </definedNames>
  <calcPr calcId="125725"/>
</workbook>
</file>

<file path=xl/calcChain.xml><?xml version="1.0" encoding="utf-8"?>
<calcChain xmlns="http://schemas.openxmlformats.org/spreadsheetml/2006/main">
  <c r="AQ55" i="27"/>
  <c r="B6" i="56"/>
  <c r="E47" i="5"/>
  <c r="D14" i="41"/>
  <c r="D5" i="38"/>
  <c r="E22" i="33"/>
  <c r="D22"/>
  <c r="B24"/>
  <c r="D30" i="37"/>
  <c r="E14" i="41"/>
  <c r="E5" i="38"/>
  <c r="E30" i="37"/>
  <c r="B6" i="55"/>
  <c r="B5"/>
  <c r="AJ55" i="27" l="1"/>
  <c r="AI55"/>
  <c r="AN55"/>
  <c r="AF55"/>
  <c r="AA55"/>
  <c r="Y55"/>
  <c r="X55"/>
  <c r="S55"/>
  <c r="Q55"/>
  <c r="L55"/>
  <c r="K55"/>
  <c r="J55"/>
  <c r="H55"/>
  <c r="G55"/>
  <c r="F55"/>
  <c r="E55"/>
  <c r="D55"/>
  <c r="B55"/>
  <c r="B8" i="23"/>
  <c r="C7" i="55" l="1"/>
  <c r="C5"/>
  <c r="C6"/>
  <c r="C8"/>
  <c r="B15" i="46"/>
  <c r="B11" i="55" l="1"/>
  <c r="B61" i="37"/>
  <c r="B6" i="54" l="1"/>
  <c r="D22" i="46"/>
  <c r="D21"/>
  <c r="B24" s="1"/>
  <c r="AL21" i="8"/>
  <c r="AW19" l="1"/>
  <c r="AT35"/>
  <c r="AT34"/>
  <c r="AT33"/>
  <c r="AT32"/>
  <c r="AT31"/>
  <c r="AT26"/>
  <c r="AT22"/>
  <c r="AT21"/>
  <c r="AT20"/>
  <c r="AT19"/>
  <c r="AT10"/>
  <c r="AT9"/>
  <c r="AT8"/>
  <c r="AT6"/>
  <c r="AT3"/>
  <c r="AT2"/>
  <c r="AN13"/>
  <c r="AN6"/>
  <c r="AM13"/>
  <c r="AM6"/>
  <c r="AN20"/>
  <c r="AM20"/>
  <c r="W35" l="1"/>
  <c r="X35"/>
  <c r="X30"/>
  <c r="W30"/>
  <c r="X26"/>
  <c r="W26"/>
  <c r="X24"/>
  <c r="X22"/>
  <c r="X18"/>
  <c r="W18"/>
  <c r="X11"/>
  <c r="W8"/>
  <c r="X5"/>
  <c r="W2"/>
  <c r="AU21"/>
  <c r="AW57" l="1"/>
  <c r="U35" l="1"/>
  <c r="V35"/>
  <c r="U30"/>
  <c r="V26"/>
  <c r="U26"/>
  <c r="U24"/>
  <c r="U22"/>
  <c r="U18"/>
  <c r="U11"/>
  <c r="U8"/>
  <c r="V8"/>
  <c r="U5"/>
  <c r="U2"/>
  <c r="V2"/>
  <c r="V57" l="1"/>
  <c r="AU57" l="1"/>
  <c r="AT57"/>
  <c r="AN57"/>
  <c r="AM57"/>
  <c r="AL57"/>
  <c r="AK57"/>
  <c r="AJ57"/>
  <c r="AH57"/>
  <c r="AG57"/>
  <c r="AF57"/>
  <c r="AE57"/>
  <c r="AD57"/>
  <c r="AC57"/>
  <c r="AB57"/>
  <c r="AA57"/>
  <c r="Y57"/>
  <c r="X57"/>
  <c r="W57"/>
  <c r="P34" l="1"/>
  <c r="P33"/>
  <c r="P29"/>
  <c r="P28"/>
  <c r="P25"/>
  <c r="P23"/>
  <c r="P16"/>
  <c r="P14"/>
  <c r="P10"/>
  <c r="P9"/>
  <c r="P4"/>
  <c r="P3"/>
  <c r="J11" i="25" l="1"/>
  <c r="H11"/>
  <c r="B5" i="47"/>
  <c r="AB29" i="41"/>
  <c r="Z29"/>
  <c r="R29"/>
  <c r="P29"/>
  <c r="N29"/>
  <c r="L14"/>
  <c r="J14"/>
  <c r="H14"/>
  <c r="F14"/>
  <c r="R21" i="40"/>
  <c r="P21"/>
  <c r="AB14" i="39"/>
  <c r="Z14"/>
  <c r="R14"/>
  <c r="P14"/>
  <c r="N14"/>
  <c r="L5" i="38"/>
  <c r="J5"/>
  <c r="H5"/>
  <c r="F5"/>
  <c r="D21" i="34"/>
  <c r="D20"/>
  <c r="D19"/>
  <c r="D18"/>
  <c r="D17"/>
  <c r="D16"/>
  <c r="D15"/>
  <c r="D14"/>
  <c r="D13"/>
  <c r="D12"/>
  <c r="D11"/>
  <c r="D10"/>
  <c r="D9"/>
  <c r="D8"/>
  <c r="D7"/>
  <c r="D6"/>
  <c r="D5"/>
  <c r="L30" i="37"/>
  <c r="J30"/>
  <c r="H30"/>
  <c r="F30"/>
  <c r="AB19"/>
  <c r="Z19"/>
  <c r="R19"/>
  <c r="P19"/>
  <c r="N19"/>
  <c r="L47" i="5"/>
  <c r="J47"/>
  <c r="H47"/>
  <c r="F47"/>
  <c r="AB29"/>
  <c r="Z29"/>
  <c r="R29"/>
  <c r="P29"/>
  <c r="N29"/>
  <c r="C12" i="53"/>
  <c r="E12" s="1"/>
  <c r="C11"/>
  <c r="E11" s="1"/>
  <c r="C10"/>
  <c r="E10" s="1"/>
  <c r="C9"/>
  <c r="E9" s="1"/>
  <c r="E8"/>
  <c r="C8"/>
  <c r="C7"/>
  <c r="E7" s="1"/>
  <c r="C6"/>
  <c r="E6" s="1"/>
  <c r="C5"/>
  <c r="E5" s="1"/>
  <c r="C4"/>
  <c r="E4" s="1"/>
  <c r="B14" l="1"/>
  <c r="B36" s="1"/>
  <c r="B25" i="31"/>
  <c r="B47" i="4"/>
  <c r="B40"/>
  <c r="B26"/>
  <c r="N46" i="1" l="1"/>
  <c r="L46"/>
  <c r="T28"/>
  <c r="R28"/>
  <c r="E32" i="52"/>
  <c r="D32"/>
  <c r="E31"/>
  <c r="D31"/>
  <c r="E30"/>
  <c r="D30"/>
  <c r="E29"/>
  <c r="D29"/>
  <c r="E28"/>
  <c r="D28"/>
  <c r="E27"/>
  <c r="D27"/>
  <c r="E26"/>
  <c r="D26"/>
  <c r="E25"/>
  <c r="D25"/>
  <c r="E23"/>
  <c r="D23"/>
  <c r="E21"/>
  <c r="D21"/>
  <c r="E18"/>
  <c r="D18"/>
  <c r="E17"/>
  <c r="D17"/>
  <c r="E15"/>
  <c r="D15"/>
  <c r="E14"/>
  <c r="D14"/>
  <c r="E13"/>
  <c r="D13"/>
  <c r="E12"/>
  <c r="D12"/>
  <c r="E11"/>
  <c r="D11"/>
  <c r="E10"/>
  <c r="D10"/>
  <c r="E9"/>
  <c r="D9"/>
  <c r="E6"/>
  <c r="D6"/>
  <c r="E5"/>
  <c r="D5"/>
  <c r="E4"/>
  <c r="D4"/>
  <c r="E32" i="51"/>
  <c r="D32"/>
  <c r="E31"/>
  <c r="D31"/>
  <c r="E30"/>
  <c r="D30"/>
  <c r="E29"/>
  <c r="D29"/>
  <c r="E28"/>
  <c r="D28"/>
  <c r="E27"/>
  <c r="D27"/>
  <c r="E26"/>
  <c r="D26"/>
  <c r="E25"/>
  <c r="D25"/>
  <c r="E23"/>
  <c r="D23"/>
  <c r="E21"/>
  <c r="D21"/>
  <c r="E18"/>
  <c r="D18"/>
  <c r="E17"/>
  <c r="D17"/>
  <c r="E15"/>
  <c r="D15"/>
  <c r="E14"/>
  <c r="D14"/>
  <c r="E13"/>
  <c r="D13"/>
  <c r="E12"/>
  <c r="D12"/>
  <c r="E11"/>
  <c r="D11"/>
  <c r="E10"/>
  <c r="D10"/>
  <c r="E9"/>
  <c r="D9"/>
  <c r="E6"/>
  <c r="D6"/>
  <c r="E5"/>
  <c r="D5"/>
  <c r="E4"/>
  <c r="D4"/>
  <c r="E3" i="50"/>
  <c r="B11" s="1"/>
  <c r="D3"/>
  <c r="E3" i="49"/>
  <c r="B11" s="1"/>
  <c r="D3"/>
  <c r="E3" i="48"/>
  <c r="B11" s="1"/>
  <c r="D3"/>
  <c r="E37" i="21"/>
  <c r="E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8"/>
  <c r="D18"/>
  <c r="E17"/>
  <c r="D17"/>
  <c r="E16"/>
  <c r="D16"/>
  <c r="E11"/>
  <c r="D11"/>
  <c r="E10"/>
  <c r="D10"/>
  <c r="E8"/>
  <c r="D8"/>
  <c r="E3"/>
  <c r="D3"/>
  <c r="B52" i="51" l="1"/>
  <c r="B52" i="52"/>
  <c r="B57" i="21"/>
  <c r="E4" i="46"/>
  <c r="E3"/>
  <c r="B7" i="47"/>
  <c r="B8"/>
  <c r="B9"/>
  <c r="B10"/>
  <c r="B11"/>
  <c r="B12"/>
  <c r="B13"/>
  <c r="B14"/>
  <c r="B15"/>
  <c r="B16"/>
  <c r="B17"/>
  <c r="B18"/>
  <c r="B19"/>
  <c r="B20"/>
  <c r="B21"/>
  <c r="B6"/>
  <c r="B28" l="1"/>
  <c r="A3"/>
  <c r="E55" i="25"/>
  <c r="E54"/>
  <c r="E45"/>
  <c r="C4" i="16"/>
  <c r="E4" s="1"/>
  <c r="AB11" i="25"/>
  <c r="F11"/>
  <c r="E5" l="1"/>
  <c r="E6"/>
  <c r="E8"/>
  <c r="E11"/>
  <c r="E12"/>
  <c r="E13"/>
  <c r="E14"/>
  <c r="E18"/>
  <c r="E4"/>
  <c r="D17" l="1"/>
  <c r="E17" s="1"/>
  <c r="D16"/>
  <c r="E16" s="1"/>
  <c r="D15"/>
  <c r="E15" s="1"/>
  <c r="D10"/>
  <c r="E10" s="1"/>
  <c r="D9"/>
  <c r="E9" s="1"/>
  <c r="D7"/>
  <c r="E7" s="1"/>
  <c r="B36" l="1"/>
  <c r="B47"/>
  <c r="B57"/>
  <c r="B7" i="46" l="1"/>
  <c r="B7" i="45" l="1"/>
  <c r="E18" i="44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3"/>
  <c r="D3"/>
  <c r="B21" l="1"/>
  <c r="E16" i="43"/>
  <c r="D16"/>
  <c r="E15"/>
  <c r="D15"/>
  <c r="E14"/>
  <c r="D14"/>
  <c r="E9"/>
  <c r="D9"/>
  <c r="E8"/>
  <c r="D8"/>
  <c r="E6"/>
  <c r="B35" s="1"/>
  <c r="D6"/>
  <c r="B65" i="42"/>
  <c r="B55"/>
  <c r="B38"/>
  <c r="B103" s="1"/>
  <c r="B70"/>
  <c r="A3"/>
  <c r="C64" s="1"/>
  <c r="C11" l="1"/>
  <c r="C18"/>
  <c r="C22"/>
  <c r="C26"/>
  <c r="C31"/>
  <c r="C39"/>
  <c r="C45"/>
  <c r="C50"/>
  <c r="C54"/>
  <c r="C57"/>
  <c r="C63"/>
  <c r="C68"/>
  <c r="C9"/>
  <c r="C15"/>
  <c r="C21"/>
  <c r="C25"/>
  <c r="C29"/>
  <c r="C38"/>
  <c r="C44"/>
  <c r="C48"/>
  <c r="C53"/>
  <c r="C56"/>
  <c r="C62"/>
  <c r="C66"/>
  <c r="C61"/>
  <c r="C8"/>
  <c r="C13"/>
  <c r="C20"/>
  <c r="C24"/>
  <c r="C28"/>
  <c r="C41"/>
  <c r="C47"/>
  <c r="C52"/>
  <c r="C55"/>
  <c r="C60"/>
  <c r="C65"/>
  <c r="C5"/>
  <c r="C7"/>
  <c r="C12"/>
  <c r="C19"/>
  <c r="C23"/>
  <c r="C27"/>
  <c r="C37"/>
  <c r="C40"/>
  <c r="C46"/>
  <c r="C51"/>
  <c r="C59"/>
  <c r="C71"/>
  <c r="C42"/>
  <c r="C33"/>
  <c r="C16"/>
  <c r="C70"/>
  <c r="C14"/>
  <c r="C32"/>
  <c r="C36"/>
  <c r="C58"/>
  <c r="C69"/>
  <c r="C10"/>
  <c r="C30"/>
  <c r="C35"/>
  <c r="C49"/>
  <c r="C67"/>
  <c r="C6"/>
  <c r="C17"/>
  <c r="C34"/>
  <c r="C43"/>
  <c r="D28" i="41"/>
  <c r="D12" l="1"/>
  <c r="D11"/>
  <c r="D10"/>
  <c r="D9"/>
  <c r="D6"/>
  <c r="A3"/>
  <c r="E29" l="1"/>
  <c r="E25"/>
  <c r="E30"/>
  <c r="E31"/>
  <c r="E27"/>
  <c r="E26"/>
  <c r="E28"/>
  <c r="E9"/>
  <c r="E11"/>
  <c r="E6"/>
  <c r="E8"/>
  <c r="E5"/>
  <c r="E7"/>
  <c r="E10"/>
  <c r="E12"/>
  <c r="AC22" i="40"/>
  <c r="Y21"/>
  <c r="B33" i="41" l="1"/>
  <c r="B16"/>
  <c r="E19" i="40"/>
  <c r="E22"/>
  <c r="E23"/>
  <c r="E17"/>
  <c r="AB21"/>
  <c r="Z21"/>
  <c r="N21"/>
  <c r="D20"/>
  <c r="E20" s="1"/>
  <c r="AC18"/>
  <c r="E18" s="1"/>
  <c r="A3"/>
  <c r="D20" i="39"/>
  <c r="D19"/>
  <c r="D18"/>
  <c r="D13"/>
  <c r="D12"/>
  <c r="D9"/>
  <c r="A3"/>
  <c r="A3" i="38"/>
  <c r="D27" i="37"/>
  <c r="D26"/>
  <c r="D25"/>
  <c r="D24"/>
  <c r="D23"/>
  <c r="D18"/>
  <c r="D17"/>
  <c r="D15"/>
  <c r="D14"/>
  <c r="D12"/>
  <c r="D11"/>
  <c r="D10"/>
  <c r="D7"/>
  <c r="A3"/>
  <c r="E32" i="36"/>
  <c r="D32"/>
  <c r="E31"/>
  <c r="D31"/>
  <c r="E30"/>
  <c r="D30"/>
  <c r="E29"/>
  <c r="D29"/>
  <c r="E28"/>
  <c r="D28"/>
  <c r="E27"/>
  <c r="D27"/>
  <c r="E26"/>
  <c r="D26"/>
  <c r="E25"/>
  <c r="D25"/>
  <c r="E23"/>
  <c r="D23"/>
  <c r="E21"/>
  <c r="D21"/>
  <c r="E18"/>
  <c r="D18"/>
  <c r="E17"/>
  <c r="D17"/>
  <c r="E15"/>
  <c r="D15"/>
  <c r="E14"/>
  <c r="D14"/>
  <c r="E13"/>
  <c r="D13"/>
  <c r="E12"/>
  <c r="D12"/>
  <c r="E11"/>
  <c r="D11"/>
  <c r="E10"/>
  <c r="D10"/>
  <c r="E9"/>
  <c r="D9"/>
  <c r="E6"/>
  <c r="D6"/>
  <c r="E5"/>
  <c r="D5"/>
  <c r="E4"/>
  <c r="D4"/>
  <c r="E3" i="35"/>
  <c r="B11" s="1"/>
  <c r="D3"/>
  <c r="E21" i="39" l="1"/>
  <c r="E6" i="37"/>
  <c r="E12" i="39"/>
  <c r="E15"/>
  <c r="E9"/>
  <c r="E20"/>
  <c r="E6"/>
  <c r="E5"/>
  <c r="E16"/>
  <c r="E18"/>
  <c r="E8"/>
  <c r="E13"/>
  <c r="E19"/>
  <c r="B55" i="41"/>
  <c r="E21" i="40"/>
  <c r="B25" s="1"/>
  <c r="E6"/>
  <c r="E5"/>
  <c r="E7" i="39"/>
  <c r="E10"/>
  <c r="E11"/>
  <c r="E14"/>
  <c r="E17"/>
  <c r="E5" i="37"/>
  <c r="E14"/>
  <c r="E16"/>
  <c r="E17"/>
  <c r="E21"/>
  <c r="E26"/>
  <c r="E7"/>
  <c r="E12"/>
  <c r="E9"/>
  <c r="E23"/>
  <c r="E25"/>
  <c r="E8"/>
  <c r="E15"/>
  <c r="E19"/>
  <c r="E22"/>
  <c r="E24"/>
  <c r="E27"/>
  <c r="E10"/>
  <c r="E11"/>
  <c r="E18"/>
  <c r="E13"/>
  <c r="E20"/>
  <c r="E28"/>
  <c r="B52" i="36"/>
  <c r="A3" i="34"/>
  <c r="E18" l="1"/>
  <c r="E10"/>
  <c r="E6"/>
  <c r="E14"/>
  <c r="E16"/>
  <c r="E8"/>
  <c r="E12"/>
  <c r="E9"/>
  <c r="E5"/>
  <c r="E20"/>
  <c r="E7"/>
  <c r="E13"/>
  <c r="E11"/>
  <c r="E15"/>
  <c r="E21"/>
  <c r="E19"/>
  <c r="E17"/>
  <c r="B8" i="40"/>
  <c r="B36" s="1"/>
  <c r="B41" i="39"/>
  <c r="B11" i="38"/>
  <c r="B51" i="37"/>
  <c r="D21" i="33"/>
  <c r="D20"/>
  <c r="D19"/>
  <c r="D18"/>
  <c r="D17"/>
  <c r="D16"/>
  <c r="D15"/>
  <c r="D14"/>
  <c r="D13"/>
  <c r="D12"/>
  <c r="D11"/>
  <c r="D10"/>
  <c r="D9"/>
  <c r="D8"/>
  <c r="D7"/>
  <c r="D6"/>
  <c r="D5"/>
  <c r="A3"/>
  <c r="B23" i="34" l="1"/>
  <c r="E5" i="33"/>
  <c r="E9"/>
  <c r="E10"/>
  <c r="E7"/>
  <c r="E8"/>
  <c r="E20"/>
  <c r="E6"/>
  <c r="E12"/>
  <c r="E18"/>
  <c r="E14"/>
  <c r="E16"/>
  <c r="E11"/>
  <c r="E13"/>
  <c r="E15"/>
  <c r="E17"/>
  <c r="E19"/>
  <c r="E21"/>
  <c r="D44" i="5"/>
  <c r="D43"/>
  <c r="D42"/>
  <c r="D41"/>
  <c r="D40"/>
  <c r="D39"/>
  <c r="D38"/>
  <c r="D37"/>
  <c r="D36"/>
  <c r="D35"/>
  <c r="D33"/>
  <c r="D31"/>
  <c r="D28"/>
  <c r="D27"/>
  <c r="D26"/>
  <c r="D24"/>
  <c r="D23"/>
  <c r="D22"/>
  <c r="D21"/>
  <c r="D20"/>
  <c r="D18"/>
  <c r="D17"/>
  <c r="D16"/>
  <c r="D15"/>
  <c r="D14"/>
  <c r="D13"/>
  <c r="D10"/>
  <c r="D8"/>
  <c r="D7"/>
  <c r="D6"/>
  <c r="A3"/>
  <c r="E30" s="1"/>
  <c r="C22" i="16"/>
  <c r="E22" s="1"/>
  <c r="C23"/>
  <c r="E23" s="1"/>
  <c r="C24"/>
  <c r="E24" s="1"/>
  <c r="C25"/>
  <c r="E25" s="1"/>
  <c r="C14"/>
  <c r="E14" s="1"/>
  <c r="C12"/>
  <c r="E12" s="1"/>
  <c r="C13"/>
  <c r="E13" s="1"/>
  <c r="C39"/>
  <c r="E39" s="1"/>
  <c r="C38"/>
  <c r="C6"/>
  <c r="C7"/>
  <c r="C8"/>
  <c r="C9"/>
  <c r="C10"/>
  <c r="C11"/>
  <c r="C15"/>
  <c r="C16"/>
  <c r="C17"/>
  <c r="C18"/>
  <c r="C19"/>
  <c r="C20"/>
  <c r="C21"/>
  <c r="C26"/>
  <c r="C27"/>
  <c r="C5"/>
  <c r="E6" i="5" l="1"/>
  <c r="E22"/>
  <c r="E15"/>
  <c r="E7"/>
  <c r="E27"/>
  <c r="E35"/>
  <c r="E39"/>
  <c r="E43"/>
  <c r="E10"/>
  <c r="E16"/>
  <c r="E21"/>
  <c r="E26"/>
  <c r="E33"/>
  <c r="E38"/>
  <c r="E42"/>
  <c r="E31"/>
  <c r="E14"/>
  <c r="E18"/>
  <c r="E23"/>
  <c r="E45"/>
  <c r="E41"/>
  <c r="E37"/>
  <c r="E29"/>
  <c r="E13"/>
  <c r="E40"/>
  <c r="E36"/>
  <c r="E28"/>
  <c r="E20"/>
  <c r="E12"/>
  <c r="E8"/>
  <c r="E19"/>
  <c r="E11"/>
  <c r="E25"/>
  <c r="E17"/>
  <c r="E9"/>
  <c r="E44"/>
  <c r="E32"/>
  <c r="E24"/>
  <c r="E5"/>
  <c r="E34"/>
  <c r="C27" i="31"/>
  <c r="B68" i="5" l="1"/>
  <c r="A3" i="31"/>
  <c r="A3" i="4"/>
  <c r="J46" i="1"/>
  <c r="H46"/>
  <c r="E46" s="1"/>
  <c r="C6" i="31" l="1"/>
  <c r="C21"/>
  <c r="C17"/>
  <c r="C14"/>
  <c r="C11"/>
  <c r="C8"/>
  <c r="C7"/>
  <c r="C24"/>
  <c r="C20"/>
  <c r="C18"/>
  <c r="C15"/>
  <c r="C16"/>
  <c r="C12"/>
  <c r="C9"/>
  <c r="C5"/>
  <c r="C25"/>
  <c r="C23"/>
  <c r="C22"/>
  <c r="C19"/>
  <c r="C13"/>
  <c r="C10"/>
  <c r="C24" i="4"/>
  <c r="C7"/>
  <c r="C50"/>
  <c r="C49"/>
  <c r="C42"/>
  <c r="C39"/>
  <c r="C35"/>
  <c r="C32"/>
  <c r="C20"/>
  <c r="C16"/>
  <c r="C12"/>
  <c r="C47"/>
  <c r="C45"/>
  <c r="C36"/>
  <c r="C33"/>
  <c r="C27"/>
  <c r="C21"/>
  <c r="C17"/>
  <c r="C13"/>
  <c r="C11"/>
  <c r="C8"/>
  <c r="C5"/>
  <c r="C48"/>
  <c r="C46"/>
  <c r="C43"/>
  <c r="C40"/>
  <c r="C37"/>
  <c r="C34"/>
  <c r="C30"/>
  <c r="C28"/>
  <c r="C22"/>
  <c r="C18"/>
  <c r="C14"/>
  <c r="C9"/>
  <c r="C6"/>
  <c r="C44"/>
  <c r="C41"/>
  <c r="C38"/>
  <c r="C31"/>
  <c r="C29"/>
  <c r="C25"/>
  <c r="C23"/>
  <c r="C19"/>
  <c r="C15"/>
  <c r="C10"/>
  <c r="C26"/>
  <c r="AB28" i="1"/>
  <c r="AD28"/>
  <c r="P28"/>
  <c r="B34" i="31" l="1"/>
  <c r="AE10" i="1"/>
  <c r="E10" s="1"/>
  <c r="G10"/>
  <c r="G11"/>
  <c r="G15"/>
  <c r="G24"/>
  <c r="G27"/>
  <c r="G28"/>
  <c r="G29"/>
  <c r="G31"/>
  <c r="G33"/>
  <c r="G44"/>
  <c r="E44"/>
  <c r="E33"/>
  <c r="E31"/>
  <c r="E29"/>
  <c r="E28"/>
  <c r="E24"/>
  <c r="E18"/>
  <c r="E11"/>
  <c r="E8"/>
  <c r="E4"/>
  <c r="G4"/>
  <c r="F43"/>
  <c r="G43" s="1"/>
  <c r="F42"/>
  <c r="G42" s="1"/>
  <c r="F41"/>
  <c r="G41" s="1"/>
  <c r="F40"/>
  <c r="G40" s="1"/>
  <c r="F39"/>
  <c r="G39" s="1"/>
  <c r="F36"/>
  <c r="G36" s="1"/>
  <c r="F35"/>
  <c r="G35" s="1"/>
  <c r="F34"/>
  <c r="G34" s="1"/>
  <c r="F32"/>
  <c r="G32" s="1"/>
  <c r="F30"/>
  <c r="G30" s="1"/>
  <c r="F27"/>
  <c r="F26"/>
  <c r="G26" s="1"/>
  <c r="F25"/>
  <c r="G25" s="1"/>
  <c r="F23"/>
  <c r="G23" s="1"/>
  <c r="F22"/>
  <c r="G22" s="1"/>
  <c r="F19"/>
  <c r="G19" s="1"/>
  <c r="F16"/>
  <c r="G16" s="1"/>
  <c r="F15"/>
  <c r="F13"/>
  <c r="G13" s="1"/>
  <c r="F12"/>
  <c r="G12" s="1"/>
  <c r="F7"/>
  <c r="G7" s="1"/>
  <c r="F6"/>
  <c r="G6" s="1"/>
  <c r="F5"/>
  <c r="G5" s="1"/>
  <c r="D43"/>
  <c r="E43" s="1"/>
  <c r="D42"/>
  <c r="E42" s="1"/>
  <c r="D41"/>
  <c r="E41" s="1"/>
  <c r="D40"/>
  <c r="E40" s="1"/>
  <c r="D39"/>
  <c r="E39" s="1"/>
  <c r="D38"/>
  <c r="E38" s="1"/>
  <c r="D37"/>
  <c r="E37" s="1"/>
  <c r="D36"/>
  <c r="E36" s="1"/>
  <c r="D35"/>
  <c r="E35" s="1"/>
  <c r="D34"/>
  <c r="E34" s="1"/>
  <c r="D32"/>
  <c r="E32" s="1"/>
  <c r="D30"/>
  <c r="E30" s="1"/>
  <c r="D27"/>
  <c r="E27" s="1"/>
  <c r="D26"/>
  <c r="E26" s="1"/>
  <c r="D25"/>
  <c r="E25" s="1"/>
  <c r="D23"/>
  <c r="E23" s="1"/>
  <c r="D22"/>
  <c r="E22" s="1"/>
  <c r="D21"/>
  <c r="E21" s="1"/>
  <c r="D20"/>
  <c r="E20" s="1"/>
  <c r="D19"/>
  <c r="E19" s="1"/>
  <c r="D17"/>
  <c r="E17" s="1"/>
  <c r="D16"/>
  <c r="E16" s="1"/>
  <c r="D15"/>
  <c r="E15" s="1"/>
  <c r="D14"/>
  <c r="E14" s="1"/>
  <c r="D13"/>
  <c r="E13" s="1"/>
  <c r="D12"/>
  <c r="E12" s="1"/>
  <c r="D9"/>
  <c r="E9" s="1"/>
  <c r="D7"/>
  <c r="E7" s="1"/>
  <c r="D6"/>
  <c r="E6" s="1"/>
  <c r="E5"/>
  <c r="D5"/>
  <c r="B57" i="8" l="1"/>
  <c r="E38" i="16" l="1"/>
  <c r="B41" s="1"/>
  <c r="B43" s="1"/>
  <c r="E6"/>
  <c r="E7"/>
  <c r="E8"/>
  <c r="E9"/>
  <c r="E10"/>
  <c r="E11"/>
  <c r="E15"/>
  <c r="E16"/>
  <c r="E17"/>
  <c r="E18"/>
  <c r="E19"/>
  <c r="E20"/>
  <c r="E21"/>
  <c r="E26"/>
  <c r="E27"/>
  <c r="E5"/>
  <c r="C5" i="15"/>
  <c r="E5" s="1"/>
  <c r="C6"/>
  <c r="E6" s="1"/>
  <c r="C7"/>
  <c r="E7" s="1"/>
  <c r="C8"/>
  <c r="E8" s="1"/>
  <c r="C9"/>
  <c r="E9" s="1"/>
  <c r="C10"/>
  <c r="E10" s="1"/>
  <c r="C11"/>
  <c r="E11" s="1"/>
  <c r="C12"/>
  <c r="E12" s="1"/>
  <c r="C4"/>
  <c r="E4" s="1"/>
  <c r="B29" i="16" l="1"/>
  <c r="B31" s="1"/>
  <c r="B49" s="1"/>
  <c r="B14" i="15"/>
  <c r="B36" s="1"/>
  <c r="U57" i="8" l="1"/>
  <c r="T57"/>
  <c r="S57"/>
  <c r="R57"/>
  <c r="Q57"/>
  <c r="P57"/>
  <c r="O57"/>
  <c r="N57"/>
  <c r="M57"/>
  <c r="L57"/>
  <c r="K57"/>
  <c r="J57"/>
  <c r="H57"/>
  <c r="E57"/>
  <c r="D57"/>
  <c r="C57"/>
  <c r="B84" i="4" l="1"/>
</calcChain>
</file>

<file path=xl/sharedStrings.xml><?xml version="1.0" encoding="utf-8"?>
<sst xmlns="http://schemas.openxmlformats.org/spreadsheetml/2006/main" count="2045" uniqueCount="444">
  <si>
    <t>Área do Teto</t>
  </si>
  <si>
    <t>Área do Piso</t>
  </si>
  <si>
    <t>Perímetro Interno</t>
  </si>
  <si>
    <t>Área das Paredes</t>
  </si>
  <si>
    <t>Circulação</t>
  </si>
  <si>
    <t>DML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</si>
  <si>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</si>
  <si>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</si>
  <si>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</si>
  <si>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</si>
  <si>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</si>
  <si>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</si>
  <si>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</si>
  <si>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</si>
  <si>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</si>
  <si>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</si>
  <si>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</si>
  <si>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</si>
  <si>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</si>
  <si>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</si>
  <si>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</si>
  <si>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</si>
  <si>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</si>
  <si>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</si>
  <si>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</si>
  <si>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</si>
  <si>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</si>
  <si>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</si>
  <si>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</si>
  <si>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</si>
  <si>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</si>
  <si>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</si>
  <si>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</si>
  <si>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</si>
  <si>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</si>
  <si>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</si>
  <si>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</si>
  <si>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</si>
  <si>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</si>
  <si>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</si>
  <si>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</si>
  <si>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</si>
  <si>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</si>
  <si>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</si>
  <si>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</si>
  <si>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</si>
  <si>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</si>
  <si>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</si>
  <si>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</si>
  <si>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</si>
  <si>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</si>
  <si>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</si>
  <si>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</si>
  <si>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</si>
  <si>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</si>
  <si>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</si>
  <si>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</si>
  <si>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</si>
  <si>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</si>
  <si>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</si>
  <si>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</si>
  <si>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</si>
  <si>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</si>
  <si>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</si>
  <si>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</si>
  <si>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</si>
  <si>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</si>
  <si>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</si>
  <si>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</si>
  <si>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</si>
  <si>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</si>
  <si>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</si>
  <si>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</si>
  <si>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</si>
  <si>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</si>
  <si>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</si>
  <si>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</si>
  <si>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</si>
  <si>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</si>
  <si>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</si>
  <si>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</si>
  <si>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</si>
  <si>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</si>
  <si>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</si>
  <si>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</si>
  <si>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</si>
  <si>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</si>
  <si>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</si>
  <si>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</si>
  <si>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</si>
  <si>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</si>
  <si>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</si>
  <si>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</si>
  <si>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</si>
  <si>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</si>
  <si>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</si>
  <si>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</si>
  <si>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</si>
  <si>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</si>
  <si>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</si>
  <si>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</si>
  <si>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</si>
  <si>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</si>
  <si>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</si>
  <si>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Passeio em concreto</t>
  </si>
  <si>
    <t>Rodapé</t>
  </si>
  <si>
    <t>Correr</t>
  </si>
  <si>
    <t>Abrir</t>
  </si>
  <si>
    <t>Elevador 1</t>
  </si>
  <si>
    <t>Elevador 2</t>
  </si>
  <si>
    <t>Elevador</t>
  </si>
  <si>
    <t>Sala TI</t>
  </si>
  <si>
    <t>Rouparia</t>
  </si>
  <si>
    <t>Utilidades</t>
  </si>
  <si>
    <t>Shaft</t>
  </si>
  <si>
    <t>Hall</t>
  </si>
  <si>
    <t>Copa</t>
  </si>
  <si>
    <t>Sanit. PNE</t>
  </si>
  <si>
    <t>Escada II</t>
  </si>
  <si>
    <t>Escada I</t>
  </si>
  <si>
    <t>Rampa</t>
  </si>
  <si>
    <t>Observação Pediátrico</t>
  </si>
  <si>
    <t>Sala de Espera Ped.</t>
  </si>
  <si>
    <t>Observação Adulto I</t>
  </si>
  <si>
    <t>Estar Funcionários</t>
  </si>
  <si>
    <t>Plantão</t>
  </si>
  <si>
    <t>Isolamento I</t>
  </si>
  <si>
    <t>Isolamento II</t>
  </si>
  <si>
    <t>Observação Adulto III</t>
  </si>
  <si>
    <t>Dep. Equipamentos</t>
  </si>
  <si>
    <t>Observação Adulto II</t>
  </si>
  <si>
    <t>H30</t>
  </si>
  <si>
    <t>H31</t>
  </si>
  <si>
    <t>V28</t>
  </si>
  <si>
    <t>V29</t>
  </si>
  <si>
    <t>V30</t>
  </si>
  <si>
    <t>V31</t>
  </si>
  <si>
    <t>V32</t>
  </si>
  <si>
    <t>V33</t>
  </si>
  <si>
    <t>V34</t>
  </si>
  <si>
    <t>V35</t>
  </si>
  <si>
    <t>Guarda-corpo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</si>
  <si>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</si>
  <si>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</si>
  <si>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</si>
  <si>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</si>
  <si>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</si>
  <si>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</si>
  <si>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</si>
  <si>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</si>
  <si>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</si>
  <si>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Obs.: Considerando b = 15 cm (alvenaria de 20 cm) e h = 19 cm</t>
  </si>
  <si>
    <t>Volume</t>
  </si>
  <si>
    <t>Obs.: Considerando b = 12 cm (alvenaria de 15 cm) e h = 19 cm</t>
  </si>
  <si>
    <t>VOLUME TOTAL</t>
  </si>
  <si>
    <t>Cobertura em telha metálica</t>
  </si>
  <si>
    <t>Impermeabilização com manta asfáltica</t>
  </si>
  <si>
    <t>Camada de regularização argamassa</t>
  </si>
  <si>
    <t>Total</t>
  </si>
  <si>
    <t>Obs.: Considerando pintura epóxi até o teto</t>
  </si>
  <si>
    <t>BARRADO:</t>
  </si>
  <si>
    <t>Obs.: Considerando barrado de pintura epóxi de 1,40 m</t>
  </si>
  <si>
    <t>ÁREA TOTAL</t>
  </si>
  <si>
    <t>Obs.: Considerando pintura acrílica até o teto</t>
  </si>
  <si>
    <t>Obs.: Considerando pintura acrílica a partir do barrado de epóxi de 1,40 m</t>
  </si>
  <si>
    <t>Porta 7</t>
  </si>
  <si>
    <t>Porta 8</t>
  </si>
  <si>
    <t>Porta 9</t>
  </si>
  <si>
    <t>Porta 10</t>
  </si>
  <si>
    <t>Porta 11</t>
  </si>
  <si>
    <t>Áreas Molhadas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</si>
  <si>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</si>
  <si>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</si>
  <si>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</si>
  <si>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</si>
  <si>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</si>
  <si>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</si>
  <si>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</si>
  <si>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</si>
  <si>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</si>
  <si>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</si>
  <si>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</si>
  <si>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</si>
  <si>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</si>
  <si>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</si>
  <si>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</si>
  <si>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</si>
  <si>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</si>
  <si>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</si>
  <si>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</si>
  <si>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</si>
  <si>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</si>
  <si>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</si>
  <si>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</si>
  <si>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</si>
  <si>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</si>
  <si>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</si>
  <si>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</si>
  <si>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</si>
  <si>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</si>
  <si>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200x100</t>
  </si>
  <si>
    <t>415x100</t>
  </si>
  <si>
    <t>335x100</t>
  </si>
  <si>
    <t>220x100</t>
  </si>
  <si>
    <t>1155x100</t>
  </si>
  <si>
    <t>1390x100</t>
  </si>
  <si>
    <t>100x80</t>
  </si>
  <si>
    <t>150x100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</si>
  <si>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</si>
  <si>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</si>
  <si>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</si>
  <si>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</si>
  <si>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</si>
  <si>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</si>
  <si>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</si>
  <si>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</si>
  <si>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P = 0</t>
  </si>
  <si>
    <t>P = 165</t>
  </si>
  <si>
    <t>P = 185</t>
  </si>
  <si>
    <t>4 Folhas</t>
  </si>
  <si>
    <t>1 Folha</t>
  </si>
  <si>
    <t>2 Folhas</t>
  </si>
  <si>
    <t>Pele Vidro</t>
  </si>
  <si>
    <t>Máx. Ar</t>
  </si>
  <si>
    <t>Bascul.</t>
  </si>
  <si>
    <t>Vidro Temp.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</si>
  <si>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</si>
  <si>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</si>
  <si>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</si>
  <si>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</si>
  <si>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</si>
  <si>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</si>
  <si>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Laje Técnica Ar Cond</t>
  </si>
  <si>
    <t>500x100</t>
  </si>
  <si>
    <t>275x100</t>
  </si>
  <si>
    <t>710x100</t>
  </si>
  <si>
    <t>105x180</t>
  </si>
  <si>
    <t>775x295</t>
  </si>
  <si>
    <t>480x265</t>
  </si>
  <si>
    <t>300x100</t>
  </si>
  <si>
    <t>500x265</t>
  </si>
  <si>
    <t>P = 100</t>
  </si>
  <si>
    <t>P = 50</t>
  </si>
  <si>
    <t>Pele de Vidro</t>
  </si>
  <si>
    <t>V34*</t>
  </si>
  <si>
    <t>* A janela J1 foi considerada no desconto das esquadrias da parede V34 neste pavimento, mas é uma pele de vidro na fachada do prédio. Assim, ela não será descontada nos pavimentos acima.</t>
  </si>
  <si>
    <t>Vaso Sanit com Válvula de Descarga (PNE) e Sóculo</t>
  </si>
  <si>
    <t>Assento para Vaso PNE</t>
  </si>
  <si>
    <t>Barra para PNE vaso sanitário 80cm (horizontal)</t>
  </si>
  <si>
    <t>Barra para PNE vaso sanitário 70cm (vertical)</t>
  </si>
  <si>
    <t>Vaso Sanitário com Válvula de Descarga</t>
  </si>
  <si>
    <t>Papeleira Plástica para Papel Higiênico Rolão</t>
  </si>
  <si>
    <t>Braço para Chuveiro</t>
  </si>
  <si>
    <t>Barra para PNE chuveiro 70cm (horizontal)</t>
  </si>
  <si>
    <t>Barra para PNE chuveiro 70cm (vertical)</t>
  </si>
  <si>
    <t>Espelho Cristal, e = 4 mm, Paraf Parede, h = 90 cm</t>
  </si>
  <si>
    <t>Porta Álcool em Gel</t>
  </si>
  <si>
    <t>Cabide Metálico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</si>
  <si>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</si>
  <si>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</si>
  <si>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</si>
  <si>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</si>
  <si>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</si>
  <si>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Barra para PNE lavatório 40cm (vertical)</t>
  </si>
  <si>
    <t>Barra para PNE lavatório 80cm ("U")</t>
  </si>
  <si>
    <t>Torneira para Lavatório</t>
  </si>
  <si>
    <t>Torneira de Mesa para Pia de Cozinha</t>
  </si>
  <si>
    <t>Bojo em Aço Inox</t>
  </si>
  <si>
    <t>Pia de Despejo</t>
  </si>
  <si>
    <t>Barra para PNE porta 40cm (horizontal)</t>
  </si>
  <si>
    <t>Divisória em Granito Cinza Andorinha</t>
  </si>
  <si>
    <t>Tanque de Louça Branca</t>
  </si>
  <si>
    <t>Torneira para Tanque em Metal Cromado</t>
  </si>
  <si>
    <t>Protetor de Parede Bate-Maca</t>
  </si>
  <si>
    <t>Corrimão</t>
  </si>
  <si>
    <t>Guarda-Corpo</t>
  </si>
  <si>
    <t>Alçapão</t>
  </si>
  <si>
    <t>Plantio de Grama Esmeralda</t>
  </si>
  <si>
    <t>Bebedouro</t>
  </si>
  <si>
    <t>Torneira para Bebedouro</t>
  </si>
  <si>
    <t>Peitoril de Granito Cinza Andorinha</t>
  </si>
  <si>
    <t>Drywall</t>
  </si>
  <si>
    <t>Divisória em Vidro Temperado</t>
  </si>
  <si>
    <t>Divisória em Fórmica</t>
  </si>
  <si>
    <t>Escada Marinheiro</t>
  </si>
  <si>
    <t>nº de Degraus</t>
  </si>
  <si>
    <t>Dim. Escada</t>
  </si>
  <si>
    <t>Comprim.</t>
  </si>
  <si>
    <t>FAIXA ANTIDERRAP.</t>
  </si>
  <si>
    <t>Quantid.</t>
  </si>
  <si>
    <t>Vagas Carro</t>
  </si>
  <si>
    <t>Vagas Moto</t>
  </si>
  <si>
    <t>Argamassa Baritada</t>
  </si>
  <si>
    <t>Referente ao item 8.1.1.6</t>
  </si>
  <si>
    <t>GRANITO POLIDO</t>
  </si>
  <si>
    <t>Rampa de Entrada</t>
  </si>
  <si>
    <t>GRANITO TEXTUR.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</si>
  <si>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</si>
  <si>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</si>
  <si>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</si>
  <si>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</si>
  <si>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</si>
  <si>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VERGAS DE PORTAS</t>
  </si>
  <si>
    <t>COBERTURA</t>
  </si>
  <si>
    <t>CHAPISCO DE PAREDES</t>
  </si>
  <si>
    <t>REBOCO DE PAREDES</t>
  </si>
  <si>
    <t>REBOCO DE PAREDES COM ARGAMASSA BARITADA</t>
  </si>
  <si>
    <t>EMBOÇO DE PAREDES</t>
  </si>
  <si>
    <t>CERÂMICA DE PAREDES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</si>
  <si>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</si>
  <si>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</si>
  <si>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</si>
  <si>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</si>
  <si>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</si>
  <si>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</si>
  <si>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</si>
  <si>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</si>
  <si>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</si>
  <si>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</si>
  <si>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</si>
  <si>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</si>
  <si>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</si>
  <si>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8.1.1.3</t>
  </si>
  <si>
    <t>Referente ao item 8.1.1.8</t>
  </si>
  <si>
    <t>SELADOR EM PAREDES</t>
  </si>
  <si>
    <t>Referente ao item 12.1.3</t>
  </si>
  <si>
    <t>EMASSAMENTO DE PAREDES</t>
  </si>
  <si>
    <t>Referente ao item 12.1.1</t>
  </si>
  <si>
    <t>PINTURA EM EPÓXI</t>
  </si>
  <si>
    <t>Referente ao item 12.1.7</t>
  </si>
  <si>
    <t>PINTURA EM EPÓXI PARA DEMARCAÇÃO</t>
  </si>
  <si>
    <t>Referente ao item 12.2.1</t>
  </si>
  <si>
    <t>PINTURA EM TINTA ACRÍLICA</t>
  </si>
  <si>
    <t>Referente ao item 12.1.5</t>
  </si>
  <si>
    <t>CHAPISCO NO TETO</t>
  </si>
  <si>
    <t>Referente ao item 8.1.2.1</t>
  </si>
  <si>
    <t>REBOCO NO TETO</t>
  </si>
  <si>
    <t>NÃO TEM</t>
  </si>
  <si>
    <t>EMASSAMENTO NO TETO</t>
  </si>
  <si>
    <t>Referente ao item 12.1.2</t>
  </si>
  <si>
    <t>PINTURA NO TETO</t>
  </si>
  <si>
    <t>Referente ao item 12.1.6</t>
  </si>
  <si>
    <t>FORRO DE GESSO</t>
  </si>
  <si>
    <t>Referente ao item 8.1.2.2 e 10.8</t>
  </si>
  <si>
    <t>EMASSAMENTO NO FORRO DE GESSO</t>
  </si>
  <si>
    <t>PINTURA NO FORRO DE GESSO</t>
  </si>
  <si>
    <t>PISO DE PORCELANATO</t>
  </si>
  <si>
    <t>Referente ao item 9.4</t>
  </si>
  <si>
    <t>PISO EM CERÂMICA</t>
  </si>
  <si>
    <t>Referente ao item 9.5</t>
  </si>
  <si>
    <t>PISO EM CONCRETO POLIDO</t>
  </si>
  <si>
    <t>Concreto Polido</t>
  </si>
  <si>
    <t>Referente ao item 9.7 e 9.8</t>
  </si>
  <si>
    <t>PISO EM GRANITO POLIDO</t>
  </si>
  <si>
    <t>PISO EM GRANITO TEXTURIZADO</t>
  </si>
  <si>
    <t>FAIXA ANTI-DERRAPANTE</t>
  </si>
  <si>
    <t>Referente ao item 9.12</t>
  </si>
  <si>
    <t>Referente ao item 9.13</t>
  </si>
  <si>
    <t>CONTRA-PISO</t>
  </si>
  <si>
    <t>Referente ao item 9.3</t>
  </si>
  <si>
    <t>PASSEIO EM CONCRETO</t>
  </si>
  <si>
    <t>Referente ao item 9.11</t>
  </si>
  <si>
    <t>SOLEIRA EM GRANITO</t>
  </si>
  <si>
    <t>Referente ao item 9.10</t>
  </si>
  <si>
    <t>RODAPÉ EM PORCELANATO</t>
  </si>
  <si>
    <t>RODAPÉ EM CERÂMICA</t>
  </si>
  <si>
    <t>RODAPÉ EM GRANITO</t>
  </si>
  <si>
    <t>Referente ao item 9.9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</si>
  <si>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</si>
  <si>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</si>
  <si>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</si>
  <si>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</si>
  <si>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</si>
  <si>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</si>
  <si>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</si>
  <si>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</si>
  <si>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</si>
  <si>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</si>
  <si>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</si>
  <si>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</si>
  <si>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</si>
  <si>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</si>
  <si>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</si>
  <si>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</si>
  <si>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</si>
  <si>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</si>
  <si>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</si>
  <si>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</si>
  <si>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</si>
  <si>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</si>
  <si>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</si>
  <si>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</si>
  <si>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</si>
  <si>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</si>
  <si>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</si>
  <si>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14.1.21</t>
  </si>
  <si>
    <t>14.1.22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</si>
  <si>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</si>
  <si>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</si>
  <si>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</si>
  <si>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</si>
  <si>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</si>
  <si>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</si>
  <si>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</si>
  <si>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</si>
  <si>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</si>
  <si>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12.3.3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</si>
  <si>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</si>
  <si>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</si>
  <si>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</si>
  <si>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</si>
  <si>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</si>
  <si>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</si>
  <si>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</si>
  <si>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</si>
  <si>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</si>
  <si>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</si>
  <si>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</si>
  <si>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</si>
  <si>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</si>
  <si>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</si>
  <si>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</si>
  <si>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</si>
  <si>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</si>
  <si>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</si>
  <si>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</si>
  <si>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</si>
  <si>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P21</t>
  </si>
  <si>
    <t>Grade</t>
  </si>
  <si>
    <t>Fachada 1</t>
  </si>
  <si>
    <t>Fachada 2</t>
  </si>
  <si>
    <t>Fachada 3</t>
  </si>
  <si>
    <t>Fachada 4</t>
  </si>
  <si>
    <t>Perímetro Externo</t>
  </si>
  <si>
    <t>REVESTIMENTO CERÂMICO NA FACHADA</t>
  </si>
  <si>
    <t>Revest Cer Fachada</t>
  </si>
  <si>
    <t>PISO DE BORRACHA</t>
  </si>
  <si>
    <t>Corta-Fogo</t>
  </si>
  <si>
    <t>P22</t>
  </si>
  <si>
    <t>J19</t>
  </si>
  <si>
    <t>775x640</t>
  </si>
  <si>
    <t>775x310</t>
  </si>
  <si>
    <t>P24</t>
  </si>
  <si>
    <t>155x210</t>
  </si>
</sst>
</file>

<file path=xl/styles.xml><?xml version="1.0" encoding="utf-8"?>
<styleSheet xmlns="http://schemas.openxmlformats.org/spreadsheetml/2006/main">
  <numFmts count="7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ades&quot;"/>
    <numFmt numFmtId="169" formatCode="0\ &quot;unid.&quot;"/>
    <numFmt numFmtId="170" formatCode="0.00\ &quot;m³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0" xfId="0" applyNumberFormat="1" applyFont="1" applyFill="1" applyBorder="1" applyAlignment="1">
      <alignment horizontal="center" vertical="center"/>
    </xf>
    <xf numFmtId="165" fontId="4" fillId="3" borderId="9" xfId="0" applyNumberFormat="1" applyFont="1" applyFill="1" applyBorder="1" applyAlignment="1">
      <alignment horizontal="center" vertical="center"/>
    </xf>
    <xf numFmtId="165" fontId="4" fillId="3" borderId="10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4" fillId="0" borderId="13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9" fontId="1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6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" fillId="0" borderId="0" xfId="0" applyFont="1" applyFill="1"/>
    <xf numFmtId="0" fontId="2" fillId="5" borderId="1" xfId="0" applyFont="1" applyFill="1" applyBorder="1" applyAlignment="1">
      <alignment horizontal="center"/>
    </xf>
    <xf numFmtId="0" fontId="1" fillId="0" borderId="17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 applyAlignment="1">
      <alignment horizontal="center"/>
    </xf>
    <xf numFmtId="164" fontId="3" fillId="4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3" fillId="0" borderId="0" xfId="0" applyFont="1"/>
    <xf numFmtId="165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1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5" fontId="3" fillId="3" borderId="15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 vertical="center"/>
    </xf>
    <xf numFmtId="169" fontId="3" fillId="0" borderId="8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2" fontId="0" fillId="0" borderId="0" xfId="0" applyNumberFormat="1"/>
    <xf numFmtId="169" fontId="3" fillId="0" borderId="3" xfId="0" applyNumberFormat="1" applyFont="1" applyFill="1" applyBorder="1" applyAlignment="1">
      <alignment horizontal="center" vertical="center"/>
    </xf>
    <xf numFmtId="169" fontId="3" fillId="3" borderId="3" xfId="0" applyNumberFormat="1" applyFont="1" applyFill="1" applyBorder="1" applyAlignment="1">
      <alignment horizontal="center" vertical="center"/>
    </xf>
    <xf numFmtId="169" fontId="3" fillId="3" borderId="19" xfId="0" applyNumberFormat="1" applyFont="1" applyFill="1" applyBorder="1" applyAlignment="1">
      <alignment horizontal="center" vertical="center"/>
    </xf>
    <xf numFmtId="169" fontId="3" fillId="0" borderId="19" xfId="0" applyNumberFormat="1" applyFont="1" applyFill="1" applyBorder="1" applyAlignment="1">
      <alignment horizontal="center" vertical="center"/>
    </xf>
    <xf numFmtId="0" fontId="9" fillId="0" borderId="18" xfId="0" applyFont="1" applyBorder="1"/>
    <xf numFmtId="169" fontId="3" fillId="3" borderId="11" xfId="0" applyNumberFormat="1" applyFont="1" applyFill="1" applyBorder="1" applyAlignment="1">
      <alignment horizontal="center" vertical="center"/>
    </xf>
    <xf numFmtId="0" fontId="9" fillId="0" borderId="20" xfId="0" applyFont="1" applyBorder="1"/>
    <xf numFmtId="0" fontId="6" fillId="2" borderId="1" xfId="0" applyFon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center" vertical="center"/>
    </xf>
    <xf numFmtId="169" fontId="4" fillId="0" borderId="7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9" fontId="4" fillId="3" borderId="7" xfId="0" applyNumberFormat="1" applyFont="1" applyFill="1" applyBorder="1" applyAlignment="1">
      <alignment horizontal="center" vertical="center"/>
    </xf>
    <xf numFmtId="169" fontId="4" fillId="3" borderId="1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9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7" xfId="0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A1:AP50"/>
  <sheetViews>
    <sheetView zoomScale="85" zoomScaleNormal="85" workbookViewId="0">
      <pane ySplit="3" topLeftCell="A4" activePane="bottomLeft" state="frozenSplit"/>
      <selection pane="bottomLeft" activeCell="A4" sqref="A4:A44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86" customFormat="1">
      <c r="A1" s="85" t="s">
        <v>21</v>
      </c>
      <c r="H1" s="148" t="s">
        <v>6</v>
      </c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</row>
    <row r="2" spans="1:42" s="86" customFormat="1">
      <c r="A2" s="87">
        <v>3.4</v>
      </c>
      <c r="H2" s="149" t="s">
        <v>9</v>
      </c>
      <c r="I2" s="150"/>
      <c r="J2" s="149" t="s">
        <v>12</v>
      </c>
      <c r="K2" s="150"/>
      <c r="L2" s="149" t="s">
        <v>13</v>
      </c>
      <c r="M2" s="150"/>
      <c r="N2" s="149" t="s">
        <v>14</v>
      </c>
      <c r="O2" s="150"/>
      <c r="P2" s="149" t="s">
        <v>15</v>
      </c>
      <c r="Q2" s="150"/>
      <c r="R2" s="149" t="s">
        <v>16</v>
      </c>
      <c r="S2" s="150"/>
      <c r="T2" s="149" t="s">
        <v>17</v>
      </c>
      <c r="U2" s="150"/>
      <c r="V2" s="148" t="s">
        <v>18</v>
      </c>
      <c r="W2" s="148"/>
      <c r="X2" s="148" t="s">
        <v>19</v>
      </c>
      <c r="Y2" s="148"/>
      <c r="Z2" s="148" t="s">
        <v>20</v>
      </c>
      <c r="AA2" s="148"/>
      <c r="AB2" s="148" t="s">
        <v>22</v>
      </c>
      <c r="AC2" s="148"/>
      <c r="AD2" s="148" t="s">
        <v>23</v>
      </c>
      <c r="AE2" s="148"/>
    </row>
    <row r="3" spans="1:42" s="82" customFormat="1" ht="30" customHeight="1">
      <c r="A3" s="83"/>
      <c r="B3" s="88" t="s">
        <v>7</v>
      </c>
      <c r="C3" s="88" t="s">
        <v>8</v>
      </c>
      <c r="D3" s="89" t="s">
        <v>2</v>
      </c>
      <c r="E3" s="89" t="s">
        <v>3</v>
      </c>
      <c r="F3" s="89" t="s">
        <v>1</v>
      </c>
      <c r="G3" s="89" t="s">
        <v>0</v>
      </c>
      <c r="H3" s="62" t="s">
        <v>10</v>
      </c>
      <c r="I3" s="62" t="s">
        <v>11</v>
      </c>
      <c r="J3" s="62" t="s">
        <v>10</v>
      </c>
      <c r="K3" s="62" t="s">
        <v>11</v>
      </c>
      <c r="L3" s="62" t="s">
        <v>10</v>
      </c>
      <c r="M3" s="62" t="s">
        <v>11</v>
      </c>
      <c r="N3" s="62" t="s">
        <v>10</v>
      </c>
      <c r="O3" s="62" t="s">
        <v>11</v>
      </c>
      <c r="P3" s="62" t="s">
        <v>10</v>
      </c>
      <c r="Q3" s="62" t="s">
        <v>11</v>
      </c>
      <c r="R3" s="62" t="s">
        <v>10</v>
      </c>
      <c r="S3" s="62" t="s">
        <v>11</v>
      </c>
      <c r="T3" s="62" t="s">
        <v>10</v>
      </c>
      <c r="U3" s="62" t="s">
        <v>11</v>
      </c>
      <c r="V3" s="62" t="s">
        <v>10</v>
      </c>
      <c r="W3" s="62" t="s">
        <v>11</v>
      </c>
      <c r="X3" s="62" t="s">
        <v>10</v>
      </c>
      <c r="Y3" s="62" t="s">
        <v>11</v>
      </c>
      <c r="Z3" s="62" t="s">
        <v>10</v>
      </c>
      <c r="AA3" s="62" t="s">
        <v>11</v>
      </c>
      <c r="AB3" s="62" t="s">
        <v>10</v>
      </c>
      <c r="AC3" s="62" t="s">
        <v>11</v>
      </c>
      <c r="AD3" s="62" t="s">
        <v>10</v>
      </c>
      <c r="AE3" s="62" t="s">
        <v>11</v>
      </c>
      <c r="AI3" s="83"/>
      <c r="AJ3" s="83"/>
      <c r="AK3" s="83"/>
      <c r="AL3" s="83"/>
      <c r="AM3" s="83"/>
      <c r="AN3" s="83"/>
      <c r="AO3" s="83"/>
      <c r="AP3" s="83"/>
    </row>
    <row r="4" spans="1:42" s="82" customFormat="1">
      <c r="A4" s="57" t="s">
        <v>121</v>
      </c>
      <c r="B4" s="80"/>
      <c r="C4" s="80"/>
      <c r="D4" s="7">
        <v>54.42</v>
      </c>
      <c r="E4" s="81">
        <f t="shared" ref="E4:E5" si="0">(D4*$A$2)-((H4*I4)+(J4*K4)+(L4*M4)+(N4*O4)+(P4*Q4)+(R4*S4)+(T4*U4)+(V4*W4)+(X4*Y4)+(Z4*AA4)+(AB4*AC4)+(AD4*AE4))</f>
        <v>97.212999999999994</v>
      </c>
      <c r="F4" s="81">
        <v>153.79</v>
      </c>
      <c r="G4" s="81">
        <f>F4</f>
        <v>153.79</v>
      </c>
      <c r="H4" s="78">
        <v>3</v>
      </c>
      <c r="I4" s="79">
        <v>1</v>
      </c>
      <c r="J4" s="78">
        <v>3</v>
      </c>
      <c r="K4" s="79">
        <v>1</v>
      </c>
      <c r="L4" s="78">
        <v>7.75</v>
      </c>
      <c r="M4" s="79">
        <v>9.5</v>
      </c>
      <c r="N4" s="63"/>
      <c r="O4" s="64"/>
      <c r="P4" s="78">
        <v>0.9</v>
      </c>
      <c r="Q4" s="79">
        <v>2.1</v>
      </c>
      <c r="R4" s="78">
        <v>0.9</v>
      </c>
      <c r="S4" s="79">
        <v>2.1</v>
      </c>
      <c r="T4" s="78">
        <v>2.1</v>
      </c>
      <c r="U4" s="79">
        <v>2.1</v>
      </c>
      <c r="V4" s="63"/>
      <c r="W4" s="64"/>
      <c r="X4" s="63"/>
      <c r="Y4" s="64"/>
      <c r="Z4" s="63"/>
      <c r="AA4" s="64"/>
      <c r="AB4" s="63"/>
      <c r="AC4" s="64"/>
      <c r="AD4" s="63"/>
      <c r="AE4" s="64"/>
      <c r="AI4" s="83"/>
      <c r="AJ4" s="83"/>
      <c r="AK4" s="83"/>
      <c r="AL4" s="83"/>
      <c r="AM4" s="83"/>
      <c r="AN4" s="83"/>
      <c r="AO4" s="83"/>
      <c r="AP4" s="83"/>
    </row>
    <row r="5" spans="1:42" s="82" customFormat="1">
      <c r="A5" s="57" t="s">
        <v>117</v>
      </c>
      <c r="B5" s="7">
        <v>1.95</v>
      </c>
      <c r="C5" s="7">
        <v>2.5</v>
      </c>
      <c r="D5" s="7">
        <f t="shared" ref="D5" si="1">2*(B5+C5)</f>
        <v>8.9</v>
      </c>
      <c r="E5" s="81">
        <f t="shared" si="0"/>
        <v>27.57</v>
      </c>
      <c r="F5" s="81">
        <f t="shared" ref="F5:F7" si="2">B5*C5</f>
        <v>4.875</v>
      </c>
      <c r="G5" s="81">
        <f t="shared" ref="G5:G44" si="3">F5</f>
        <v>4.875</v>
      </c>
      <c r="H5" s="78">
        <v>1</v>
      </c>
      <c r="I5" s="79">
        <v>0.8</v>
      </c>
      <c r="J5" s="63"/>
      <c r="K5" s="64"/>
      <c r="L5" s="63"/>
      <c r="M5" s="64"/>
      <c r="N5" s="63"/>
      <c r="O5" s="64"/>
      <c r="P5" s="78">
        <v>0.9</v>
      </c>
      <c r="Q5" s="79">
        <v>2.1</v>
      </c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D5" s="63"/>
      <c r="AE5" s="64"/>
      <c r="AI5" s="83"/>
      <c r="AJ5" s="83"/>
      <c r="AM5" s="83"/>
      <c r="AN5" s="83"/>
    </row>
    <row r="6" spans="1:42" s="82" customFormat="1">
      <c r="A6" s="57" t="s">
        <v>117</v>
      </c>
      <c r="B6" s="7">
        <v>1.95</v>
      </c>
      <c r="C6" s="7">
        <v>2.5</v>
      </c>
      <c r="D6" s="7">
        <f t="shared" ref="D6:D7" si="4">2*(B6+C6)</f>
        <v>8.9</v>
      </c>
      <c r="E6" s="81">
        <f t="shared" ref="E6:E8" si="5">(D6*$A$2)-((H6*I6)+(J6*K6)+(L6*M6)+(N6*O6)+(P6*Q6)+(R6*S6)+(T6*U6)+(V6*W6)+(X6*Y6)+(Z6*AA6)+(AB6*AC6)+(AD6*AE6))</f>
        <v>28.37</v>
      </c>
      <c r="F6" s="81">
        <f t="shared" si="2"/>
        <v>4.875</v>
      </c>
      <c r="G6" s="81">
        <f t="shared" si="3"/>
        <v>4.875</v>
      </c>
      <c r="H6" s="63"/>
      <c r="I6" s="64"/>
      <c r="J6" s="63"/>
      <c r="K6" s="64"/>
      <c r="L6" s="63"/>
      <c r="M6" s="64"/>
      <c r="N6" s="63"/>
      <c r="O6" s="64"/>
      <c r="P6" s="78">
        <v>0.9</v>
      </c>
      <c r="Q6" s="79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D6" s="63"/>
      <c r="AE6" s="64"/>
      <c r="AI6" s="83"/>
      <c r="AJ6" s="83"/>
      <c r="AK6" s="83"/>
      <c r="AL6" s="83"/>
      <c r="AM6" s="83"/>
      <c r="AN6" s="83"/>
      <c r="AO6" s="83"/>
      <c r="AP6" s="83"/>
    </row>
    <row r="7" spans="1:42" s="82" customFormat="1">
      <c r="A7" s="57" t="s">
        <v>116</v>
      </c>
      <c r="B7" s="7">
        <v>1.95</v>
      </c>
      <c r="C7" s="7">
        <v>3.83</v>
      </c>
      <c r="D7" s="7">
        <f t="shared" si="4"/>
        <v>11.56</v>
      </c>
      <c r="E7" s="81">
        <f t="shared" si="5"/>
        <v>37.624000000000002</v>
      </c>
      <c r="F7" s="81">
        <f t="shared" si="2"/>
        <v>7.4684999999999997</v>
      </c>
      <c r="G7" s="81">
        <f t="shared" si="3"/>
        <v>7.4684999999999997</v>
      </c>
      <c r="H7" s="63"/>
      <c r="I7" s="64"/>
      <c r="J7" s="63"/>
      <c r="K7" s="64"/>
      <c r="L7" s="63"/>
      <c r="M7" s="64"/>
      <c r="N7" s="63"/>
      <c r="O7" s="64"/>
      <c r="P7" s="78">
        <v>0.8</v>
      </c>
      <c r="Q7" s="79">
        <v>2.1</v>
      </c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D7" s="63"/>
      <c r="AE7" s="64"/>
      <c r="AI7" s="83"/>
      <c r="AJ7" s="83"/>
      <c r="AK7" s="83"/>
      <c r="AL7" s="83"/>
      <c r="AM7" s="83"/>
      <c r="AN7" s="83"/>
      <c r="AO7" s="83"/>
      <c r="AP7" s="83"/>
    </row>
    <row r="8" spans="1:42" s="82" customFormat="1">
      <c r="A8" s="57" t="s">
        <v>118</v>
      </c>
      <c r="B8" s="80"/>
      <c r="C8" s="80"/>
      <c r="D8" s="7">
        <v>27.06</v>
      </c>
      <c r="E8" s="81">
        <f t="shared" si="5"/>
        <v>81.800999999999988</v>
      </c>
      <c r="F8" s="84"/>
      <c r="G8" s="84"/>
      <c r="H8" s="78">
        <v>3</v>
      </c>
      <c r="I8" s="79">
        <v>1</v>
      </c>
      <c r="J8" s="63"/>
      <c r="K8" s="64"/>
      <c r="L8" s="63"/>
      <c r="M8" s="64"/>
      <c r="N8" s="63"/>
      <c r="O8" s="64"/>
      <c r="P8" s="78">
        <v>2.1</v>
      </c>
      <c r="Q8" s="79">
        <v>2.1</v>
      </c>
      <c r="R8" s="78">
        <v>1.33</v>
      </c>
      <c r="S8" s="79">
        <v>2.1</v>
      </c>
      <c r="T8" s="63"/>
      <c r="U8" s="64"/>
      <c r="V8" s="63"/>
      <c r="W8" s="64"/>
      <c r="X8" s="63"/>
      <c r="Y8" s="64"/>
      <c r="Z8" s="63"/>
      <c r="AA8" s="64"/>
      <c r="AB8" s="63"/>
      <c r="AC8" s="64"/>
      <c r="AD8" s="63"/>
      <c r="AE8" s="64"/>
      <c r="AI8" s="83"/>
      <c r="AJ8" s="83"/>
      <c r="AK8" s="83"/>
      <c r="AL8" s="83"/>
      <c r="AM8" s="83"/>
      <c r="AN8" s="83"/>
      <c r="AO8" s="83"/>
      <c r="AP8" s="83"/>
    </row>
    <row r="9" spans="1:42" s="82" customFormat="1">
      <c r="A9" s="57" t="s">
        <v>110</v>
      </c>
      <c r="B9" s="7">
        <v>1.75</v>
      </c>
      <c r="C9" s="7">
        <v>1.45</v>
      </c>
      <c r="D9" s="7">
        <f t="shared" ref="D9" si="6">2*(B9+C9)</f>
        <v>6.4</v>
      </c>
      <c r="E9" s="81">
        <f t="shared" ref="E9:E11" si="7">(D9*$A$2)-((H9*I9)+(J9*K9)+(L9*M9)+(N9*O9)+(P9*Q9)+(R9*S9)+(T9*U9)+(V9*W9)+(X9*Y9)+(Z9*AA9)+(AB9*AC9)+(AD9*AE9))</f>
        <v>18.967000000000002</v>
      </c>
      <c r="F9" s="80"/>
      <c r="G9" s="80"/>
      <c r="H9" s="63"/>
      <c r="I9" s="64"/>
      <c r="J9" s="63"/>
      <c r="K9" s="64"/>
      <c r="L9" s="63"/>
      <c r="M9" s="64"/>
      <c r="N9" s="63"/>
      <c r="O9" s="64"/>
      <c r="P9" s="78">
        <v>1.33</v>
      </c>
      <c r="Q9" s="79">
        <v>2.1</v>
      </c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D9" s="63"/>
      <c r="AE9" s="64"/>
      <c r="AI9" s="83"/>
      <c r="AJ9" s="83"/>
      <c r="AK9" s="83"/>
      <c r="AL9" s="83"/>
      <c r="AM9" s="83"/>
      <c r="AN9" s="83"/>
      <c r="AO9" s="83"/>
      <c r="AP9" s="83"/>
    </row>
    <row r="10" spans="1:42" s="82" customFormat="1">
      <c r="A10" s="57" t="s">
        <v>122</v>
      </c>
      <c r="B10" s="80"/>
      <c r="C10" s="80"/>
      <c r="D10" s="7">
        <v>20.239999999999998</v>
      </c>
      <c r="E10" s="81">
        <f t="shared" si="7"/>
        <v>40.285999999999987</v>
      </c>
      <c r="F10" s="81">
        <v>23.23</v>
      </c>
      <c r="G10" s="81">
        <f t="shared" si="3"/>
        <v>23.23</v>
      </c>
      <c r="H10" s="63"/>
      <c r="I10" s="64"/>
      <c r="J10" s="63"/>
      <c r="K10" s="64"/>
      <c r="L10" s="63"/>
      <c r="M10" s="64"/>
      <c r="N10" s="63"/>
      <c r="O10" s="64"/>
      <c r="P10" s="78">
        <v>2.1</v>
      </c>
      <c r="Q10" s="79">
        <v>2.1</v>
      </c>
      <c r="R10" s="78">
        <v>0.8</v>
      </c>
      <c r="S10" s="79">
        <v>2.1</v>
      </c>
      <c r="T10" s="63"/>
      <c r="U10" s="64"/>
      <c r="V10" s="63"/>
      <c r="W10" s="64"/>
      <c r="X10" s="63"/>
      <c r="Y10" s="64"/>
      <c r="Z10" s="63"/>
      <c r="AA10" s="64"/>
      <c r="AB10" s="63"/>
      <c r="AC10" s="64"/>
      <c r="AD10" s="78">
        <v>6.6</v>
      </c>
      <c r="AE10" s="79">
        <f>A2</f>
        <v>3.4</v>
      </c>
      <c r="AI10" s="83"/>
      <c r="AJ10" s="83"/>
      <c r="AK10" s="83"/>
      <c r="AL10" s="83"/>
      <c r="AM10" s="83"/>
      <c r="AN10" s="83"/>
      <c r="AO10" s="83"/>
      <c r="AP10" s="83"/>
    </row>
    <row r="11" spans="1:42" s="82" customFormat="1">
      <c r="A11" s="57" t="s">
        <v>123</v>
      </c>
      <c r="B11" s="80"/>
      <c r="C11" s="80"/>
      <c r="D11" s="7">
        <v>56.3</v>
      </c>
      <c r="E11" s="81">
        <f t="shared" si="7"/>
        <v>174.98</v>
      </c>
      <c r="F11" s="81">
        <v>158.36000000000001</v>
      </c>
      <c r="G11" s="81">
        <f t="shared" si="3"/>
        <v>158.36000000000001</v>
      </c>
      <c r="H11" s="78">
        <v>2.75</v>
      </c>
      <c r="I11" s="79">
        <v>1</v>
      </c>
      <c r="J11" s="78">
        <v>2.75</v>
      </c>
      <c r="K11" s="79">
        <v>1</v>
      </c>
      <c r="L11" s="78">
        <v>2.75</v>
      </c>
      <c r="M11" s="79">
        <v>1</v>
      </c>
      <c r="N11" s="63"/>
      <c r="O11" s="64"/>
      <c r="P11" s="78">
        <v>2.1</v>
      </c>
      <c r="Q11" s="79">
        <v>2.1</v>
      </c>
      <c r="R11" s="78">
        <v>0.9</v>
      </c>
      <c r="S11" s="79">
        <v>2.1</v>
      </c>
      <c r="T11" s="78">
        <v>0.9</v>
      </c>
      <c r="U11" s="79">
        <v>2.1</v>
      </c>
      <c r="V11" s="63"/>
      <c r="W11" s="64"/>
      <c r="X11" s="63"/>
      <c r="Y11" s="64"/>
      <c r="Z11" s="63"/>
      <c r="AA11" s="64"/>
      <c r="AB11" s="63"/>
      <c r="AC11" s="64"/>
      <c r="AD11" s="63"/>
      <c r="AE11" s="64"/>
      <c r="AI11" s="83"/>
      <c r="AJ11" s="83"/>
      <c r="AK11" s="83"/>
      <c r="AL11" s="83"/>
      <c r="AM11" s="83"/>
      <c r="AN11" s="83"/>
      <c r="AO11" s="83"/>
      <c r="AP11" s="83"/>
    </row>
    <row r="12" spans="1:42" s="82" customFormat="1">
      <c r="A12" s="57" t="s">
        <v>117</v>
      </c>
      <c r="B12" s="7">
        <v>2.35</v>
      </c>
      <c r="C12" s="7">
        <v>1.8</v>
      </c>
      <c r="D12" s="7">
        <f t="shared" ref="D12:D17" si="8">2*(B12+C12)</f>
        <v>8.3000000000000007</v>
      </c>
      <c r="E12" s="81">
        <f t="shared" ref="E12:E18" si="9">(D12*$A$2)-((H12*I12)+(J12*K12)+(L12*M12)+(N12*O12)+(P12*Q12)+(R12*S12)+(T12*U12)+(V12*W12)+(X12*Y12)+(Z12*AA12)+(AB12*AC12)+(AD12*AE12))</f>
        <v>25.53</v>
      </c>
      <c r="F12" s="81">
        <f t="shared" ref="F12:F16" si="10">B12*C12</f>
        <v>4.2300000000000004</v>
      </c>
      <c r="G12" s="81">
        <f t="shared" si="3"/>
        <v>4.2300000000000004</v>
      </c>
      <c r="H12" s="78">
        <v>1</v>
      </c>
      <c r="I12" s="79">
        <v>0.8</v>
      </c>
      <c r="J12" s="63"/>
      <c r="K12" s="64"/>
      <c r="L12" s="63"/>
      <c r="M12" s="64"/>
      <c r="N12" s="63"/>
      <c r="O12" s="64"/>
      <c r="P12" s="78">
        <v>0.9</v>
      </c>
      <c r="Q12" s="79">
        <v>2.1</v>
      </c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D12" s="63"/>
      <c r="AE12" s="64"/>
      <c r="AI12" s="83"/>
      <c r="AJ12" s="83"/>
      <c r="AK12" s="83"/>
      <c r="AL12" s="83"/>
      <c r="AM12" s="83"/>
      <c r="AN12" s="83"/>
      <c r="AO12" s="83"/>
      <c r="AP12" s="83"/>
    </row>
    <row r="13" spans="1:42" s="82" customFormat="1">
      <c r="A13" s="57" t="s">
        <v>117</v>
      </c>
      <c r="B13" s="7">
        <v>2.35</v>
      </c>
      <c r="C13" s="7">
        <v>1.8</v>
      </c>
      <c r="D13" s="7">
        <f t="shared" si="8"/>
        <v>8.3000000000000007</v>
      </c>
      <c r="E13" s="81">
        <f t="shared" si="9"/>
        <v>25.53</v>
      </c>
      <c r="F13" s="81">
        <f t="shared" si="10"/>
        <v>4.2300000000000004</v>
      </c>
      <c r="G13" s="81">
        <f t="shared" si="3"/>
        <v>4.2300000000000004</v>
      </c>
      <c r="H13" s="78">
        <v>1</v>
      </c>
      <c r="I13" s="79">
        <v>0.8</v>
      </c>
      <c r="J13" s="63"/>
      <c r="K13" s="64"/>
      <c r="L13" s="63"/>
      <c r="M13" s="64"/>
      <c r="N13" s="63"/>
      <c r="O13" s="64"/>
      <c r="P13" s="78">
        <v>0.9</v>
      </c>
      <c r="Q13" s="79">
        <v>2.1</v>
      </c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D13" s="63"/>
      <c r="AE13" s="64"/>
      <c r="AI13" s="83"/>
      <c r="AJ13" s="83"/>
      <c r="AK13" s="83"/>
      <c r="AL13" s="83"/>
      <c r="AM13" s="83"/>
      <c r="AN13" s="83"/>
      <c r="AO13" s="83"/>
      <c r="AP13" s="83"/>
    </row>
    <row r="14" spans="1:42" s="82" customFormat="1">
      <c r="A14" s="57" t="s">
        <v>114</v>
      </c>
      <c r="B14" s="7">
        <v>1.9</v>
      </c>
      <c r="C14" s="7">
        <v>3.25</v>
      </c>
      <c r="D14" s="7">
        <f t="shared" si="8"/>
        <v>10.3</v>
      </c>
      <c r="E14" s="81">
        <f t="shared" si="9"/>
        <v>28.560000000000002</v>
      </c>
      <c r="F14" s="80"/>
      <c r="G14" s="80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D14" s="78">
        <v>1.9</v>
      </c>
      <c r="AE14" s="79">
        <v>3.4</v>
      </c>
      <c r="AI14" s="83"/>
      <c r="AJ14" s="83"/>
      <c r="AK14" s="83"/>
      <c r="AL14" s="83"/>
      <c r="AM14" s="83"/>
      <c r="AN14" s="83"/>
      <c r="AO14" s="83"/>
      <c r="AP14" s="83"/>
    </row>
    <row r="15" spans="1:42" s="82" customFormat="1">
      <c r="A15" s="57" t="s">
        <v>116</v>
      </c>
      <c r="B15" s="7">
        <v>1.9</v>
      </c>
      <c r="C15" s="7">
        <v>3.6</v>
      </c>
      <c r="D15" s="7">
        <f t="shared" si="8"/>
        <v>11</v>
      </c>
      <c r="E15" s="81">
        <f t="shared" si="9"/>
        <v>35.72</v>
      </c>
      <c r="F15" s="81">
        <f t="shared" si="10"/>
        <v>6.84</v>
      </c>
      <c r="G15" s="81">
        <f t="shared" si="3"/>
        <v>6.84</v>
      </c>
      <c r="H15" s="63"/>
      <c r="I15" s="64"/>
      <c r="J15" s="63"/>
      <c r="K15" s="64"/>
      <c r="L15" s="63"/>
      <c r="M15" s="64"/>
      <c r="N15" s="63"/>
      <c r="O15" s="64"/>
      <c r="P15" s="78">
        <v>0.8</v>
      </c>
      <c r="Q15" s="79">
        <v>2.1</v>
      </c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D15" s="63"/>
      <c r="AE15" s="64"/>
      <c r="AI15" s="83"/>
      <c r="AJ15" s="83"/>
      <c r="AK15" s="83"/>
      <c r="AL15" s="83"/>
      <c r="AM15" s="83"/>
      <c r="AN15" s="83"/>
      <c r="AO15" s="83"/>
      <c r="AP15" s="83"/>
    </row>
    <row r="16" spans="1:42" s="82" customFormat="1">
      <c r="A16" s="57" t="s">
        <v>112</v>
      </c>
      <c r="B16" s="7">
        <v>4.25</v>
      </c>
      <c r="C16" s="7">
        <v>2.0499999999999998</v>
      </c>
      <c r="D16" s="7">
        <f t="shared" si="8"/>
        <v>12.6</v>
      </c>
      <c r="E16" s="81">
        <f t="shared" si="9"/>
        <v>41.16</v>
      </c>
      <c r="F16" s="81">
        <f t="shared" si="10"/>
        <v>8.7124999999999986</v>
      </c>
      <c r="G16" s="81">
        <f t="shared" si="3"/>
        <v>8.7124999999999986</v>
      </c>
      <c r="H16" s="63"/>
      <c r="I16" s="64"/>
      <c r="J16" s="63"/>
      <c r="K16" s="64"/>
      <c r="L16" s="63"/>
      <c r="M16" s="64"/>
      <c r="N16" s="63"/>
      <c r="O16" s="64"/>
      <c r="P16" s="78">
        <v>0.8</v>
      </c>
      <c r="Q16" s="79">
        <v>2.1</v>
      </c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D16" s="63"/>
      <c r="AE16" s="64"/>
      <c r="AI16" s="83"/>
      <c r="AJ16" s="83"/>
      <c r="AK16" s="83"/>
      <c r="AL16" s="83"/>
      <c r="AM16" s="83"/>
      <c r="AN16" s="83"/>
      <c r="AO16" s="83"/>
      <c r="AP16" s="83"/>
    </row>
    <row r="17" spans="1:42" s="82" customFormat="1">
      <c r="A17" s="57" t="s">
        <v>114</v>
      </c>
      <c r="B17" s="7">
        <v>0.85</v>
      </c>
      <c r="C17" s="7">
        <v>2.0499999999999998</v>
      </c>
      <c r="D17" s="7">
        <f t="shared" si="8"/>
        <v>5.8</v>
      </c>
      <c r="E17" s="81">
        <f t="shared" si="9"/>
        <v>19.72</v>
      </c>
      <c r="F17" s="80"/>
      <c r="G17" s="80"/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  <c r="AD17" s="63"/>
      <c r="AE17" s="64"/>
      <c r="AI17" s="83"/>
      <c r="AJ17" s="83"/>
      <c r="AK17" s="83"/>
      <c r="AL17" s="83"/>
      <c r="AM17" s="83"/>
      <c r="AN17" s="83"/>
      <c r="AO17" s="83"/>
      <c r="AP17" s="83"/>
    </row>
    <row r="18" spans="1:42" s="82" customFormat="1">
      <c r="A18" s="57" t="s">
        <v>119</v>
      </c>
      <c r="B18" s="80"/>
      <c r="C18" s="80"/>
      <c r="D18" s="7">
        <v>25.76</v>
      </c>
      <c r="E18" s="81">
        <f t="shared" si="9"/>
        <v>81.494</v>
      </c>
      <c r="F18" s="84"/>
      <c r="G18" s="84"/>
      <c r="H18" s="63"/>
      <c r="I18" s="64"/>
      <c r="J18" s="63"/>
      <c r="K18" s="64"/>
      <c r="L18" s="63"/>
      <c r="M18" s="64"/>
      <c r="N18" s="63"/>
      <c r="O18" s="64"/>
      <c r="P18" s="78">
        <v>2.1</v>
      </c>
      <c r="Q18" s="79">
        <v>2.1</v>
      </c>
      <c r="R18" s="78">
        <v>0.8</v>
      </c>
      <c r="S18" s="79">
        <v>2.1</v>
      </c>
      <c r="T18" s="63"/>
      <c r="U18" s="64"/>
      <c r="V18" s="63"/>
      <c r="W18" s="64"/>
      <c r="X18" s="63"/>
      <c r="Y18" s="64"/>
      <c r="Z18" s="63"/>
      <c r="AA18" s="64"/>
      <c r="AB18" s="63"/>
      <c r="AC18" s="64"/>
      <c r="AD18" s="63"/>
      <c r="AE18" s="64"/>
      <c r="AI18" s="83"/>
      <c r="AJ18" s="83"/>
      <c r="AK18" s="83"/>
      <c r="AL18" s="83"/>
      <c r="AM18" s="83"/>
      <c r="AN18" s="83"/>
      <c r="AO18" s="83"/>
      <c r="AP18" s="83"/>
    </row>
    <row r="19" spans="1:42" s="82" customFormat="1">
      <c r="A19" s="57" t="s">
        <v>117</v>
      </c>
      <c r="B19" s="7">
        <v>2.35</v>
      </c>
      <c r="C19" s="7">
        <v>1.95</v>
      </c>
      <c r="D19" s="7">
        <f t="shared" ref="D19:D23" si="11">2*(B19+C19)</f>
        <v>8.6</v>
      </c>
      <c r="E19" s="81">
        <f t="shared" ref="E19:E24" si="12">(D19*$A$2)-((H19*I19)+(J19*K19)+(L19*M19)+(N19*O19)+(P19*Q19)+(R19*S19)+(T19*U19)+(V19*W19)+(X19*Y19)+(Z19*AA19)+(AB19*AC19)+(AD19*AE19))</f>
        <v>27.349999999999998</v>
      </c>
      <c r="F19" s="81">
        <f t="shared" ref="F19:F23" si="13">B19*C19</f>
        <v>4.5825000000000005</v>
      </c>
      <c r="G19" s="81">
        <f t="shared" si="3"/>
        <v>4.5825000000000005</v>
      </c>
      <c r="H19" s="63"/>
      <c r="I19" s="64"/>
      <c r="J19" s="63"/>
      <c r="K19" s="64"/>
      <c r="L19" s="63"/>
      <c r="M19" s="64"/>
      <c r="N19" s="63"/>
      <c r="O19" s="64"/>
      <c r="P19" s="78">
        <v>0.9</v>
      </c>
      <c r="Q19" s="79">
        <v>2.1</v>
      </c>
      <c r="R19" s="63"/>
      <c r="S19" s="64"/>
      <c r="T19" s="63"/>
      <c r="U19" s="64"/>
      <c r="V19" s="63"/>
      <c r="W19" s="64"/>
      <c r="X19" s="63"/>
      <c r="Y19" s="64"/>
      <c r="Z19" s="63"/>
      <c r="AA19" s="64"/>
      <c r="AB19" s="63"/>
      <c r="AC19" s="64"/>
      <c r="AD19" s="63"/>
      <c r="AE19" s="64"/>
      <c r="AI19" s="83"/>
      <c r="AJ19" s="83"/>
      <c r="AK19" s="83"/>
      <c r="AL19" s="83"/>
      <c r="AM19" s="83"/>
      <c r="AN19" s="83"/>
      <c r="AO19" s="83"/>
      <c r="AP19" s="83"/>
    </row>
    <row r="20" spans="1:42" s="82" customFormat="1">
      <c r="A20" s="57" t="s">
        <v>114</v>
      </c>
      <c r="B20" s="7">
        <v>1.5</v>
      </c>
      <c r="C20" s="7">
        <v>1.95</v>
      </c>
      <c r="D20" s="7">
        <f t="shared" si="11"/>
        <v>6.9</v>
      </c>
      <c r="E20" s="81">
        <f t="shared" si="12"/>
        <v>23.46</v>
      </c>
      <c r="F20" s="80"/>
      <c r="G20" s="80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  <c r="AB20" s="63"/>
      <c r="AC20" s="64"/>
      <c r="AD20" s="63"/>
      <c r="AE20" s="64"/>
      <c r="AI20" s="83"/>
      <c r="AJ20" s="83"/>
      <c r="AK20" s="83"/>
      <c r="AL20" s="83"/>
      <c r="AM20" s="83"/>
      <c r="AN20" s="83"/>
      <c r="AO20" s="83"/>
      <c r="AP20" s="83"/>
    </row>
    <row r="21" spans="1:42" s="82" customFormat="1">
      <c r="A21" s="57" t="s">
        <v>110</v>
      </c>
      <c r="B21" s="7">
        <v>2.9</v>
      </c>
      <c r="C21" s="7">
        <v>1.95</v>
      </c>
      <c r="D21" s="7">
        <f t="shared" si="11"/>
        <v>9.6999999999999993</v>
      </c>
      <c r="E21" s="81">
        <f t="shared" si="12"/>
        <v>30.669999999999995</v>
      </c>
      <c r="F21" s="80"/>
      <c r="G21" s="80"/>
      <c r="H21" s="63"/>
      <c r="I21" s="64"/>
      <c r="J21" s="63"/>
      <c r="K21" s="64"/>
      <c r="L21" s="63"/>
      <c r="M21" s="64"/>
      <c r="N21" s="63"/>
      <c r="O21" s="64"/>
      <c r="P21" s="78">
        <v>1.1000000000000001</v>
      </c>
      <c r="Q21" s="79">
        <v>2.1</v>
      </c>
      <c r="R21" s="63"/>
      <c r="S21" s="64"/>
      <c r="T21" s="63"/>
      <c r="U21" s="64"/>
      <c r="V21" s="63"/>
      <c r="W21" s="64"/>
      <c r="X21" s="63"/>
      <c r="Y21" s="64"/>
      <c r="Z21" s="63"/>
      <c r="AA21" s="64"/>
      <c r="AB21" s="63"/>
      <c r="AC21" s="64"/>
      <c r="AD21" s="63"/>
      <c r="AE21" s="64"/>
      <c r="AI21" s="83"/>
      <c r="AJ21" s="83"/>
      <c r="AK21" s="83"/>
      <c r="AL21" s="83"/>
      <c r="AM21" s="83"/>
      <c r="AN21" s="83"/>
      <c r="AO21" s="83"/>
      <c r="AP21" s="83"/>
    </row>
    <row r="22" spans="1:42" s="82" customFormat="1">
      <c r="A22" s="57" t="s">
        <v>5</v>
      </c>
      <c r="B22" s="7">
        <v>1.6</v>
      </c>
      <c r="C22" s="7">
        <v>2.35</v>
      </c>
      <c r="D22" s="7">
        <f t="shared" si="11"/>
        <v>7.9</v>
      </c>
      <c r="E22" s="81">
        <f t="shared" si="12"/>
        <v>25.18</v>
      </c>
      <c r="F22" s="81">
        <f t="shared" si="13"/>
        <v>3.7600000000000002</v>
      </c>
      <c r="G22" s="81">
        <f t="shared" si="3"/>
        <v>3.7600000000000002</v>
      </c>
      <c r="H22" s="63"/>
      <c r="I22" s="64"/>
      <c r="J22" s="63"/>
      <c r="K22" s="64"/>
      <c r="L22" s="63"/>
      <c r="M22" s="64"/>
      <c r="N22" s="63"/>
      <c r="O22" s="64"/>
      <c r="P22" s="78">
        <v>0.8</v>
      </c>
      <c r="Q22" s="79">
        <v>2.1</v>
      </c>
      <c r="R22" s="63"/>
      <c r="S22" s="64"/>
      <c r="T22" s="63"/>
      <c r="U22" s="64"/>
      <c r="V22" s="63"/>
      <c r="W22" s="64"/>
      <c r="X22" s="63"/>
      <c r="Y22" s="64"/>
      <c r="Z22" s="63"/>
      <c r="AA22" s="64"/>
      <c r="AB22" s="63"/>
      <c r="AC22" s="64"/>
      <c r="AD22" s="63"/>
      <c r="AE22" s="64"/>
      <c r="AI22" s="83"/>
      <c r="AJ22" s="83"/>
      <c r="AK22" s="83"/>
      <c r="AL22" s="83"/>
      <c r="AM22" s="83"/>
      <c r="AN22" s="83"/>
      <c r="AO22" s="83"/>
      <c r="AP22" s="83"/>
    </row>
    <row r="23" spans="1:42" s="82" customFormat="1">
      <c r="A23" s="57" t="s">
        <v>117</v>
      </c>
      <c r="B23" s="7">
        <v>1.8</v>
      </c>
      <c r="C23" s="7">
        <v>2.35</v>
      </c>
      <c r="D23" s="7">
        <f t="shared" si="11"/>
        <v>8.3000000000000007</v>
      </c>
      <c r="E23" s="81">
        <f t="shared" si="12"/>
        <v>26.330000000000002</v>
      </c>
      <c r="F23" s="81">
        <f t="shared" si="13"/>
        <v>4.2300000000000004</v>
      </c>
      <c r="G23" s="81">
        <f t="shared" si="3"/>
        <v>4.2300000000000004</v>
      </c>
      <c r="H23" s="63"/>
      <c r="I23" s="64"/>
      <c r="J23" s="63"/>
      <c r="K23" s="64"/>
      <c r="L23" s="63"/>
      <c r="M23" s="64"/>
      <c r="N23" s="63"/>
      <c r="O23" s="64"/>
      <c r="P23" s="78">
        <v>0.9</v>
      </c>
      <c r="Q23" s="79">
        <v>2.1</v>
      </c>
      <c r="R23" s="63"/>
      <c r="S23" s="64"/>
      <c r="T23" s="63"/>
      <c r="U23" s="64"/>
      <c r="V23" s="63"/>
      <c r="W23" s="64"/>
      <c r="X23" s="63"/>
      <c r="Y23" s="64"/>
      <c r="Z23" s="63"/>
      <c r="AA23" s="64"/>
      <c r="AB23" s="63"/>
      <c r="AC23" s="64"/>
      <c r="AD23" s="63"/>
      <c r="AE23" s="64"/>
      <c r="AI23" s="83"/>
      <c r="AJ23" s="83"/>
      <c r="AK23" s="83"/>
      <c r="AL23" s="83"/>
      <c r="AM23" s="83"/>
      <c r="AN23" s="83"/>
      <c r="AO23" s="83"/>
      <c r="AP23" s="83"/>
    </row>
    <row r="24" spans="1:42" s="82" customFormat="1">
      <c r="A24" s="57" t="s">
        <v>124</v>
      </c>
      <c r="B24" s="80"/>
      <c r="C24" s="80"/>
      <c r="D24" s="7">
        <v>23.2</v>
      </c>
      <c r="E24" s="81">
        <f t="shared" si="12"/>
        <v>70.143999999999991</v>
      </c>
      <c r="F24" s="81">
        <v>24.47</v>
      </c>
      <c r="G24" s="81">
        <f t="shared" si="3"/>
        <v>24.47</v>
      </c>
      <c r="H24" s="63"/>
      <c r="I24" s="64"/>
      <c r="J24" s="63"/>
      <c r="K24" s="64"/>
      <c r="L24" s="63"/>
      <c r="M24" s="64"/>
      <c r="N24" s="63"/>
      <c r="O24" s="64"/>
      <c r="P24" s="78">
        <v>0.8</v>
      </c>
      <c r="Q24" s="79">
        <v>2.1</v>
      </c>
      <c r="R24" s="78">
        <v>0.9</v>
      </c>
      <c r="S24" s="79">
        <v>2.1</v>
      </c>
      <c r="T24" s="78">
        <v>0.9</v>
      </c>
      <c r="U24" s="79">
        <v>2.1</v>
      </c>
      <c r="V24" s="63"/>
      <c r="W24" s="64"/>
      <c r="X24" s="63"/>
      <c r="Y24" s="64"/>
      <c r="Z24" s="63"/>
      <c r="AA24" s="64"/>
      <c r="AB24" s="63"/>
      <c r="AC24" s="64"/>
      <c r="AD24" s="78">
        <v>1.56</v>
      </c>
      <c r="AE24" s="79">
        <v>2.1</v>
      </c>
      <c r="AI24" s="83"/>
      <c r="AJ24" s="83"/>
      <c r="AK24" s="83"/>
      <c r="AL24" s="83"/>
      <c r="AM24" s="83"/>
      <c r="AN24" s="83"/>
      <c r="AO24" s="83"/>
      <c r="AP24" s="83"/>
    </row>
    <row r="25" spans="1:42" s="82" customFormat="1">
      <c r="A25" s="57" t="s">
        <v>116</v>
      </c>
      <c r="B25" s="7">
        <v>2.17</v>
      </c>
      <c r="C25" s="7">
        <v>4.5</v>
      </c>
      <c r="D25" s="7">
        <f t="shared" ref="D25:D27" si="14">2*(B25+C25)</f>
        <v>13.34</v>
      </c>
      <c r="E25" s="81">
        <f t="shared" ref="E25:E29" si="15">(D25*$A$2)-((H25*I25)+(J25*K25)+(L25*M25)+(N25*O25)+(P25*Q25)+(R25*S25)+(T25*U25)+(V25*W25)+(X25*Y25)+(Z25*AA25)+(AB25*AC25)+(AD25*AE25))</f>
        <v>39.875</v>
      </c>
      <c r="F25" s="81">
        <f t="shared" ref="F25:F27" si="16">B25*C25</f>
        <v>9.7650000000000006</v>
      </c>
      <c r="G25" s="81">
        <f t="shared" si="3"/>
        <v>9.7650000000000006</v>
      </c>
      <c r="H25" s="63"/>
      <c r="I25" s="64"/>
      <c r="J25" s="63"/>
      <c r="K25" s="64"/>
      <c r="L25" s="63"/>
      <c r="M25" s="64"/>
      <c r="N25" s="63"/>
      <c r="O25" s="64"/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  <c r="AB25" s="78">
        <v>1.05</v>
      </c>
      <c r="AC25" s="79">
        <v>2.1</v>
      </c>
      <c r="AD25" s="78">
        <v>1.56</v>
      </c>
      <c r="AE25" s="79">
        <v>2.1</v>
      </c>
      <c r="AI25" s="83"/>
      <c r="AJ25" s="83"/>
      <c r="AK25" s="83"/>
      <c r="AL25" s="83"/>
      <c r="AM25" s="83"/>
      <c r="AN25" s="83"/>
      <c r="AO25" s="83"/>
      <c r="AP25" s="83"/>
    </row>
    <row r="26" spans="1:42" s="82" customFormat="1">
      <c r="A26" s="57" t="s">
        <v>125</v>
      </c>
      <c r="B26" s="7">
        <v>7</v>
      </c>
      <c r="C26" s="7">
        <v>3.45</v>
      </c>
      <c r="D26" s="7">
        <f t="shared" si="14"/>
        <v>20.9</v>
      </c>
      <c r="E26" s="81">
        <f t="shared" si="15"/>
        <v>64.85499999999999</v>
      </c>
      <c r="F26" s="81">
        <f t="shared" si="16"/>
        <v>24.150000000000002</v>
      </c>
      <c r="G26" s="81">
        <f t="shared" si="3"/>
        <v>24.150000000000002</v>
      </c>
      <c r="H26" s="78">
        <v>2</v>
      </c>
      <c r="I26" s="79">
        <v>1</v>
      </c>
      <c r="J26" s="78">
        <v>2</v>
      </c>
      <c r="K26" s="79">
        <v>1</v>
      </c>
      <c r="L26" s="63"/>
      <c r="M26" s="64"/>
      <c r="N26" s="63"/>
      <c r="O26" s="64"/>
      <c r="P26" s="63"/>
      <c r="Q26" s="64"/>
      <c r="R26" s="63"/>
      <c r="S26" s="64"/>
      <c r="T26" s="63"/>
      <c r="U26" s="64"/>
      <c r="V26" s="63"/>
      <c r="W26" s="64"/>
      <c r="X26" s="63"/>
      <c r="Y26" s="64"/>
      <c r="Z26" s="63"/>
      <c r="AA26" s="64"/>
      <c r="AB26" s="78">
        <v>1.05</v>
      </c>
      <c r="AC26" s="79">
        <v>2.1</v>
      </c>
      <c r="AD26" s="63"/>
      <c r="AE26" s="64"/>
      <c r="AI26" s="83"/>
      <c r="AJ26" s="83"/>
      <c r="AK26" s="83"/>
      <c r="AL26" s="83"/>
      <c r="AM26" s="83"/>
      <c r="AN26" s="83"/>
      <c r="AO26" s="83"/>
      <c r="AP26" s="83"/>
    </row>
    <row r="27" spans="1:42" s="82" customFormat="1">
      <c r="A27" s="57" t="s">
        <v>120</v>
      </c>
      <c r="B27" s="7">
        <v>8.8000000000000007</v>
      </c>
      <c r="C27" s="7">
        <v>12.7</v>
      </c>
      <c r="D27" s="7">
        <f t="shared" si="14"/>
        <v>43</v>
      </c>
      <c r="E27" s="81">
        <f t="shared" si="15"/>
        <v>132.95999999999998</v>
      </c>
      <c r="F27" s="81">
        <f t="shared" si="16"/>
        <v>111.76</v>
      </c>
      <c r="G27" s="81">
        <f t="shared" si="3"/>
        <v>111.76</v>
      </c>
      <c r="H27" s="78">
        <v>2</v>
      </c>
      <c r="I27" s="79">
        <v>1</v>
      </c>
      <c r="J27" s="78">
        <v>2</v>
      </c>
      <c r="K27" s="79">
        <v>1</v>
      </c>
      <c r="L27" s="63"/>
      <c r="M27" s="64"/>
      <c r="N27" s="63"/>
      <c r="O27" s="64"/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63"/>
      <c r="AA27" s="64"/>
      <c r="AB27" s="78">
        <v>2.2000000000000002</v>
      </c>
      <c r="AC27" s="79">
        <v>2.1</v>
      </c>
      <c r="AD27" s="78">
        <v>2.2000000000000002</v>
      </c>
      <c r="AE27" s="79">
        <v>2.1</v>
      </c>
      <c r="AI27" s="83"/>
      <c r="AJ27" s="83"/>
      <c r="AK27" s="83"/>
      <c r="AL27" s="83"/>
      <c r="AM27" s="83"/>
      <c r="AN27" s="83"/>
      <c r="AO27" s="83"/>
      <c r="AP27" s="83"/>
    </row>
    <row r="28" spans="1:42" s="82" customFormat="1">
      <c r="A28" s="57" t="s">
        <v>4</v>
      </c>
      <c r="B28" s="80"/>
      <c r="C28" s="80"/>
      <c r="D28" s="7">
        <v>125.2</v>
      </c>
      <c r="E28" s="81">
        <f t="shared" si="15"/>
        <v>339.69</v>
      </c>
      <c r="F28" s="81">
        <v>132.88</v>
      </c>
      <c r="G28" s="81">
        <f t="shared" si="3"/>
        <v>132.88</v>
      </c>
      <c r="H28" s="78">
        <v>2</v>
      </c>
      <c r="I28" s="79">
        <v>1</v>
      </c>
      <c r="J28" s="63"/>
      <c r="K28" s="64"/>
      <c r="L28" s="63"/>
      <c r="M28" s="64"/>
      <c r="N28" s="63"/>
      <c r="O28" s="64"/>
      <c r="P28" s="78">
        <f>6*2.1</f>
        <v>12.600000000000001</v>
      </c>
      <c r="Q28" s="79">
        <v>2.1</v>
      </c>
      <c r="R28" s="78">
        <f>5*0.8</f>
        <v>4</v>
      </c>
      <c r="S28" s="79">
        <v>2.1</v>
      </c>
      <c r="T28" s="78">
        <f>1.1*3</f>
        <v>3.3000000000000003</v>
      </c>
      <c r="U28" s="79">
        <v>2.1</v>
      </c>
      <c r="V28" s="78">
        <v>1.1000000000000001</v>
      </c>
      <c r="W28" s="79">
        <v>2.1</v>
      </c>
      <c r="X28" s="63"/>
      <c r="Y28" s="64"/>
      <c r="Z28" s="78">
        <v>1.75</v>
      </c>
      <c r="AA28" s="79">
        <v>1</v>
      </c>
      <c r="AB28" s="78">
        <f>2.2+2.2</f>
        <v>4.4000000000000004</v>
      </c>
      <c r="AC28" s="79">
        <v>2.1</v>
      </c>
      <c r="AD28" s="78">
        <f>6.6+1.9</f>
        <v>8.5</v>
      </c>
      <c r="AE28" s="79">
        <v>3.4</v>
      </c>
      <c r="AI28" s="83"/>
      <c r="AJ28" s="83"/>
      <c r="AK28" s="83"/>
      <c r="AL28" s="83"/>
      <c r="AM28" s="83"/>
      <c r="AN28" s="83"/>
      <c r="AO28" s="83"/>
      <c r="AP28" s="83"/>
    </row>
    <row r="29" spans="1:42" s="82" customFormat="1">
      <c r="A29" s="57" t="s">
        <v>126</v>
      </c>
      <c r="B29" s="80"/>
      <c r="C29" s="80"/>
      <c r="D29" s="7">
        <v>17.71</v>
      </c>
      <c r="E29" s="81">
        <f t="shared" si="15"/>
        <v>49.393999999999998</v>
      </c>
      <c r="F29" s="81">
        <v>13.66</v>
      </c>
      <c r="G29" s="81">
        <f t="shared" si="3"/>
        <v>13.66</v>
      </c>
      <c r="H29" s="78">
        <v>2</v>
      </c>
      <c r="I29" s="79">
        <v>1</v>
      </c>
      <c r="J29" s="63"/>
      <c r="K29" s="64"/>
      <c r="L29" s="63"/>
      <c r="M29" s="64"/>
      <c r="N29" s="63"/>
      <c r="O29" s="64"/>
      <c r="P29" s="78">
        <v>0.9</v>
      </c>
      <c r="Q29" s="79">
        <v>2.1</v>
      </c>
      <c r="R29" s="78">
        <v>1.1000000000000001</v>
      </c>
      <c r="S29" s="79">
        <v>2.1</v>
      </c>
      <c r="T29" s="78">
        <v>1.1000000000000001</v>
      </c>
      <c r="U29" s="79">
        <v>2.1</v>
      </c>
      <c r="V29" s="78">
        <v>1.1000000000000001</v>
      </c>
      <c r="W29" s="79">
        <v>2.1</v>
      </c>
      <c r="X29" s="63"/>
      <c r="Y29" s="64"/>
      <c r="Z29" s="63"/>
      <c r="AA29" s="64"/>
      <c r="AB29" s="63"/>
      <c r="AC29" s="64"/>
      <c r="AD29" s="63"/>
      <c r="AE29" s="64"/>
      <c r="AI29" s="83"/>
      <c r="AJ29" s="83"/>
      <c r="AK29" s="83"/>
      <c r="AL29" s="83"/>
      <c r="AM29" s="83"/>
      <c r="AN29" s="83"/>
      <c r="AO29" s="83"/>
      <c r="AP29" s="83"/>
    </row>
    <row r="30" spans="1:42" s="82" customFormat="1">
      <c r="A30" s="57" t="s">
        <v>117</v>
      </c>
      <c r="B30" s="7">
        <v>1.8</v>
      </c>
      <c r="C30" s="7">
        <v>1.8</v>
      </c>
      <c r="D30" s="7">
        <f t="shared" ref="D30" si="17">2*(B30+C30)</f>
        <v>7.2</v>
      </c>
      <c r="E30" s="81">
        <f t="shared" ref="E30:E31" si="18">(D30*$A$2)-((H30*I30)+(J30*K30)+(L30*M30)+(N30*O30)+(P30*Q30)+(R30*S30)+(T30*U30)+(V30*W30)+(X30*Y30)+(Z30*AA30)+(AB30*AC30)+(AD30*AE30))</f>
        <v>22.59</v>
      </c>
      <c r="F30" s="81">
        <f t="shared" ref="F30" si="19">B30*C30</f>
        <v>3.24</v>
      </c>
      <c r="G30" s="81">
        <f t="shared" si="3"/>
        <v>3.24</v>
      </c>
      <c r="H30" s="63"/>
      <c r="I30" s="64"/>
      <c r="J30" s="63"/>
      <c r="K30" s="64"/>
      <c r="L30" s="63"/>
      <c r="M30" s="64"/>
      <c r="N30" s="63"/>
      <c r="O30" s="64"/>
      <c r="P30" s="78">
        <v>0.9</v>
      </c>
      <c r="Q30" s="79">
        <v>2.1</v>
      </c>
      <c r="R30" s="63"/>
      <c r="S30" s="64"/>
      <c r="T30" s="63"/>
      <c r="U30" s="64"/>
      <c r="V30" s="63"/>
      <c r="W30" s="64"/>
      <c r="X30" s="63"/>
      <c r="Y30" s="64"/>
      <c r="Z30" s="63"/>
      <c r="AA30" s="64"/>
      <c r="AB30" s="63"/>
      <c r="AC30" s="64"/>
      <c r="AD30" s="63"/>
      <c r="AE30" s="64"/>
      <c r="AI30" s="83"/>
      <c r="AJ30" s="83"/>
      <c r="AK30" s="83"/>
      <c r="AL30" s="83"/>
      <c r="AM30" s="83"/>
      <c r="AN30" s="83"/>
      <c r="AO30" s="83"/>
      <c r="AP30" s="83"/>
    </row>
    <row r="31" spans="1:42" s="82" customFormat="1">
      <c r="A31" s="57" t="s">
        <v>127</v>
      </c>
      <c r="B31" s="80"/>
      <c r="C31" s="80"/>
      <c r="D31" s="7">
        <v>17.71</v>
      </c>
      <c r="E31" s="81">
        <f t="shared" si="18"/>
        <v>51.393999999999998</v>
      </c>
      <c r="F31" s="81">
        <v>13.66</v>
      </c>
      <c r="G31" s="81">
        <f t="shared" si="3"/>
        <v>13.66</v>
      </c>
      <c r="H31" s="63"/>
      <c r="I31" s="64"/>
      <c r="J31" s="63"/>
      <c r="K31" s="64"/>
      <c r="L31" s="63"/>
      <c r="M31" s="64"/>
      <c r="N31" s="63"/>
      <c r="O31" s="64"/>
      <c r="P31" s="78">
        <v>0.9</v>
      </c>
      <c r="Q31" s="79">
        <v>2.1</v>
      </c>
      <c r="R31" s="78">
        <v>1.1000000000000001</v>
      </c>
      <c r="S31" s="79">
        <v>2.1</v>
      </c>
      <c r="T31" s="78">
        <v>1.1000000000000001</v>
      </c>
      <c r="U31" s="79">
        <v>2.1</v>
      </c>
      <c r="V31" s="78">
        <v>1.1000000000000001</v>
      </c>
      <c r="W31" s="79">
        <v>2.1</v>
      </c>
      <c r="X31" s="63"/>
      <c r="Y31" s="64"/>
      <c r="Z31" s="63"/>
      <c r="AA31" s="64"/>
      <c r="AB31" s="63"/>
      <c r="AC31" s="64"/>
      <c r="AD31" s="63"/>
      <c r="AE31" s="64"/>
      <c r="AI31" s="83"/>
      <c r="AJ31" s="83"/>
      <c r="AK31" s="83"/>
      <c r="AL31" s="83"/>
      <c r="AM31" s="83"/>
      <c r="AN31" s="83"/>
      <c r="AO31" s="83"/>
      <c r="AP31" s="83"/>
    </row>
    <row r="32" spans="1:42" s="82" customFormat="1">
      <c r="A32" s="57" t="s">
        <v>117</v>
      </c>
      <c r="B32" s="7">
        <v>1.8</v>
      </c>
      <c r="C32" s="7">
        <v>1.8</v>
      </c>
      <c r="D32" s="7">
        <f t="shared" ref="D32" si="20">2*(B32+C32)</f>
        <v>7.2</v>
      </c>
      <c r="E32" s="81">
        <f t="shared" ref="E32:E33" si="21">(D32*$A$2)-((H32*I32)+(J32*K32)+(L32*M32)+(N32*O32)+(P32*Q32)+(R32*S32)+(T32*U32)+(V32*W32)+(X32*Y32)+(Z32*AA32)+(AB32*AC32)+(AD32*AE32))</f>
        <v>22.59</v>
      </c>
      <c r="F32" s="81">
        <f t="shared" ref="F32" si="22">B32*C32</f>
        <v>3.24</v>
      </c>
      <c r="G32" s="81">
        <f t="shared" si="3"/>
        <v>3.24</v>
      </c>
      <c r="H32" s="63"/>
      <c r="I32" s="64"/>
      <c r="J32" s="63"/>
      <c r="K32" s="64"/>
      <c r="L32" s="63"/>
      <c r="M32" s="64"/>
      <c r="N32" s="63"/>
      <c r="O32" s="64"/>
      <c r="P32" s="78">
        <v>0.9</v>
      </c>
      <c r="Q32" s="79">
        <v>2.1</v>
      </c>
      <c r="R32" s="63"/>
      <c r="S32" s="64"/>
      <c r="T32" s="63"/>
      <c r="U32" s="64"/>
      <c r="V32" s="63"/>
      <c r="W32" s="64"/>
      <c r="X32" s="63"/>
      <c r="Y32" s="64"/>
      <c r="Z32" s="63"/>
      <c r="AA32" s="64"/>
      <c r="AB32" s="63"/>
      <c r="AC32" s="64"/>
      <c r="AD32" s="63"/>
      <c r="AE32" s="64"/>
      <c r="AI32" s="83"/>
      <c r="AJ32" s="83"/>
      <c r="AK32" s="83"/>
      <c r="AL32" s="83"/>
      <c r="AM32" s="83"/>
      <c r="AN32" s="83"/>
      <c r="AO32" s="83"/>
      <c r="AP32" s="83"/>
    </row>
    <row r="33" spans="1:42" s="82" customFormat="1">
      <c r="A33" s="57" t="s">
        <v>128</v>
      </c>
      <c r="B33" s="80"/>
      <c r="C33" s="80"/>
      <c r="D33" s="7">
        <v>58.94</v>
      </c>
      <c r="E33" s="81">
        <f t="shared" si="21"/>
        <v>173.55599999999998</v>
      </c>
      <c r="F33" s="81">
        <v>159.72999999999999</v>
      </c>
      <c r="G33" s="81">
        <f t="shared" si="3"/>
        <v>159.72999999999999</v>
      </c>
      <c r="H33" s="78">
        <v>2</v>
      </c>
      <c r="I33" s="79">
        <v>1</v>
      </c>
      <c r="J33" s="78">
        <v>11.55</v>
      </c>
      <c r="K33" s="79">
        <v>1</v>
      </c>
      <c r="L33" s="78">
        <v>3.35</v>
      </c>
      <c r="M33" s="79">
        <v>1</v>
      </c>
      <c r="N33" s="63"/>
      <c r="O33" s="64"/>
      <c r="P33" s="78">
        <v>0.9</v>
      </c>
      <c r="Q33" s="79">
        <v>2.1</v>
      </c>
      <c r="R33" s="78">
        <v>0.9</v>
      </c>
      <c r="S33" s="79">
        <v>2.1</v>
      </c>
      <c r="T33" s="78">
        <v>2.1</v>
      </c>
      <c r="U33" s="79">
        <v>2.1</v>
      </c>
      <c r="V33" s="63"/>
      <c r="W33" s="64"/>
      <c r="X33" s="63"/>
      <c r="Y33" s="64"/>
      <c r="Z33" s="63"/>
      <c r="AA33" s="64"/>
      <c r="AB33" s="63"/>
      <c r="AC33" s="64"/>
      <c r="AD33" s="78">
        <v>1.75</v>
      </c>
      <c r="AE33" s="79">
        <v>1</v>
      </c>
      <c r="AI33" s="83"/>
      <c r="AJ33" s="83"/>
      <c r="AK33" s="83"/>
      <c r="AL33" s="83"/>
      <c r="AM33" s="83"/>
      <c r="AN33" s="83"/>
      <c r="AO33" s="83"/>
      <c r="AP33" s="83"/>
    </row>
    <row r="34" spans="1:42" s="82" customFormat="1">
      <c r="A34" s="57" t="s">
        <v>129</v>
      </c>
      <c r="B34" s="7">
        <v>4.55</v>
      </c>
      <c r="C34" s="7">
        <v>2.75</v>
      </c>
      <c r="D34" s="7">
        <f t="shared" ref="D34:D43" si="23">2*(B34+C34)</f>
        <v>14.6</v>
      </c>
      <c r="E34" s="81">
        <f t="shared" ref="E34:E46" si="24">(D34*$A$2)-((H34*I34)+(J34*K34)+(L34*M34)+(N34*O34)+(P34*Q34)+(R34*S34)+(T34*U34)+(V34*W34)+(X34*Y34)+(Z34*AA34)+(AB34*AC34)+(AD34*AE34))</f>
        <v>47.33</v>
      </c>
      <c r="F34" s="81">
        <f t="shared" ref="F34:F43" si="25">B34*C34</f>
        <v>12.512499999999999</v>
      </c>
      <c r="G34" s="81">
        <f t="shared" si="3"/>
        <v>12.512499999999999</v>
      </c>
      <c r="H34" s="63"/>
      <c r="I34" s="64"/>
      <c r="J34" s="63"/>
      <c r="K34" s="64"/>
      <c r="L34" s="63"/>
      <c r="M34" s="64"/>
      <c r="N34" s="63"/>
      <c r="O34" s="64"/>
      <c r="P34" s="78">
        <v>1.1000000000000001</v>
      </c>
      <c r="Q34" s="79">
        <v>2.1</v>
      </c>
      <c r="R34" s="63"/>
      <c r="S34" s="64"/>
      <c r="T34" s="63"/>
      <c r="U34" s="64"/>
      <c r="V34" s="63"/>
      <c r="W34" s="64"/>
      <c r="X34" s="63"/>
      <c r="Y34" s="64"/>
      <c r="Z34" s="63"/>
      <c r="AA34" s="64"/>
      <c r="AB34" s="63"/>
      <c r="AC34" s="64"/>
      <c r="AD34" s="63"/>
      <c r="AE34" s="64"/>
      <c r="AI34" s="83"/>
      <c r="AJ34" s="83"/>
      <c r="AK34" s="83"/>
      <c r="AL34" s="83"/>
      <c r="AM34" s="83"/>
      <c r="AN34" s="83"/>
      <c r="AO34" s="83"/>
      <c r="AP34" s="83"/>
    </row>
    <row r="35" spans="1:42" s="82" customFormat="1">
      <c r="A35" s="57" t="s">
        <v>117</v>
      </c>
      <c r="B35" s="7">
        <v>2.8</v>
      </c>
      <c r="C35" s="7">
        <v>1.8</v>
      </c>
      <c r="D35" s="7">
        <f t="shared" si="23"/>
        <v>9.1999999999999993</v>
      </c>
      <c r="E35" s="81">
        <f t="shared" si="24"/>
        <v>29.389999999999997</v>
      </c>
      <c r="F35" s="81">
        <f t="shared" si="25"/>
        <v>5.04</v>
      </c>
      <c r="G35" s="81">
        <f t="shared" si="3"/>
        <v>5.04</v>
      </c>
      <c r="H35" s="63"/>
      <c r="I35" s="64"/>
      <c r="J35" s="63"/>
      <c r="K35" s="64"/>
      <c r="L35" s="63"/>
      <c r="M35" s="64"/>
      <c r="N35" s="63"/>
      <c r="O35" s="64"/>
      <c r="P35" s="78">
        <v>0.9</v>
      </c>
      <c r="Q35" s="79">
        <v>2.1</v>
      </c>
      <c r="R35" s="63"/>
      <c r="S35" s="64"/>
      <c r="T35" s="63"/>
      <c r="U35" s="64"/>
      <c r="V35" s="63"/>
      <c r="W35" s="64"/>
      <c r="X35" s="63"/>
      <c r="Y35" s="64"/>
      <c r="Z35" s="63"/>
      <c r="AA35" s="64"/>
      <c r="AB35" s="63"/>
      <c r="AC35" s="64"/>
      <c r="AD35" s="63"/>
      <c r="AE35" s="64"/>
      <c r="AI35" s="83"/>
      <c r="AJ35" s="83"/>
      <c r="AK35" s="83"/>
      <c r="AL35" s="83"/>
      <c r="AM35" s="83"/>
      <c r="AN35" s="83"/>
      <c r="AO35" s="83"/>
      <c r="AP35" s="83"/>
    </row>
    <row r="36" spans="1:42" s="82" customFormat="1">
      <c r="A36" s="57" t="s">
        <v>117</v>
      </c>
      <c r="B36" s="7">
        <v>2.8</v>
      </c>
      <c r="C36" s="7">
        <v>1.8</v>
      </c>
      <c r="D36" s="7">
        <f t="shared" si="23"/>
        <v>9.1999999999999993</v>
      </c>
      <c r="E36" s="81">
        <f t="shared" si="24"/>
        <v>29.389999999999997</v>
      </c>
      <c r="F36" s="81">
        <f t="shared" si="25"/>
        <v>5.04</v>
      </c>
      <c r="G36" s="81">
        <f t="shared" si="3"/>
        <v>5.04</v>
      </c>
      <c r="H36" s="63"/>
      <c r="I36" s="64"/>
      <c r="J36" s="63"/>
      <c r="K36" s="64"/>
      <c r="L36" s="63"/>
      <c r="M36" s="64"/>
      <c r="N36" s="63"/>
      <c r="O36" s="64"/>
      <c r="P36" s="78">
        <v>0.9</v>
      </c>
      <c r="Q36" s="79">
        <v>2.1</v>
      </c>
      <c r="R36" s="63"/>
      <c r="S36" s="64"/>
      <c r="T36" s="63"/>
      <c r="U36" s="64"/>
      <c r="V36" s="63"/>
      <c r="W36" s="64"/>
      <c r="X36" s="63"/>
      <c r="Y36" s="64"/>
      <c r="Z36" s="63"/>
      <c r="AA36" s="64"/>
      <c r="AB36" s="63"/>
      <c r="AC36" s="64"/>
      <c r="AD36" s="63"/>
      <c r="AE36" s="64"/>
      <c r="AI36" s="83"/>
      <c r="AJ36" s="83"/>
      <c r="AK36" s="83"/>
      <c r="AL36" s="83"/>
      <c r="AM36" s="83"/>
      <c r="AN36" s="83"/>
      <c r="AO36" s="83"/>
      <c r="AP36" s="83"/>
    </row>
    <row r="37" spans="1:42" s="82" customFormat="1">
      <c r="A37" s="57" t="s">
        <v>108</v>
      </c>
      <c r="B37" s="7">
        <v>1.65</v>
      </c>
      <c r="C37" s="7">
        <v>1.91</v>
      </c>
      <c r="D37" s="7">
        <f t="shared" si="23"/>
        <v>7.1199999999999992</v>
      </c>
      <c r="E37" s="81">
        <f t="shared" si="24"/>
        <v>21.099999999999998</v>
      </c>
      <c r="F37" s="80"/>
      <c r="G37" s="80"/>
      <c r="H37" s="63"/>
      <c r="I37" s="64"/>
      <c r="J37" s="63"/>
      <c r="K37" s="64"/>
      <c r="L37" s="63"/>
      <c r="M37" s="64"/>
      <c r="N37" s="63"/>
      <c r="O37" s="64"/>
      <c r="P37" s="78">
        <v>1.48</v>
      </c>
      <c r="Q37" s="79">
        <v>2.1</v>
      </c>
      <c r="R37" s="63"/>
      <c r="S37" s="64"/>
      <c r="T37" s="63"/>
      <c r="U37" s="64"/>
      <c r="V37" s="63"/>
      <c r="W37" s="64"/>
      <c r="X37" s="63"/>
      <c r="Y37" s="64"/>
      <c r="Z37" s="63"/>
      <c r="AA37" s="64"/>
      <c r="AB37" s="63"/>
      <c r="AC37" s="64"/>
      <c r="AD37" s="63"/>
      <c r="AE37" s="64"/>
      <c r="AI37" s="83"/>
      <c r="AJ37" s="83"/>
      <c r="AK37" s="83"/>
      <c r="AL37" s="83"/>
      <c r="AM37" s="83"/>
      <c r="AN37" s="83"/>
      <c r="AO37" s="83"/>
      <c r="AP37" s="83"/>
    </row>
    <row r="38" spans="1:42" s="82" customFormat="1">
      <c r="A38" s="57" t="s">
        <v>109</v>
      </c>
      <c r="B38" s="7">
        <v>1.65</v>
      </c>
      <c r="C38" s="7">
        <v>1.91</v>
      </c>
      <c r="D38" s="7">
        <f t="shared" si="23"/>
        <v>7.1199999999999992</v>
      </c>
      <c r="E38" s="81">
        <f t="shared" si="24"/>
        <v>21.099999999999998</v>
      </c>
      <c r="F38" s="80"/>
      <c r="G38" s="80"/>
      <c r="H38" s="63"/>
      <c r="I38" s="64"/>
      <c r="J38" s="63"/>
      <c r="K38" s="64"/>
      <c r="L38" s="63"/>
      <c r="M38" s="64"/>
      <c r="N38" s="63"/>
      <c r="O38" s="64"/>
      <c r="P38" s="78">
        <v>1.48</v>
      </c>
      <c r="Q38" s="79">
        <v>2.1</v>
      </c>
      <c r="R38" s="63"/>
      <c r="S38" s="64"/>
      <c r="T38" s="63"/>
      <c r="U38" s="64"/>
      <c r="V38" s="63"/>
      <c r="W38" s="64"/>
      <c r="X38" s="63"/>
      <c r="Y38" s="64"/>
      <c r="Z38" s="63"/>
      <c r="AA38" s="64"/>
      <c r="AB38" s="63"/>
      <c r="AC38" s="64"/>
      <c r="AD38" s="63"/>
      <c r="AE38" s="64"/>
      <c r="AI38" s="83"/>
      <c r="AJ38" s="83"/>
      <c r="AK38" s="83"/>
      <c r="AL38" s="83"/>
      <c r="AM38" s="83"/>
      <c r="AN38" s="83"/>
      <c r="AO38" s="83"/>
      <c r="AP38" s="83"/>
    </row>
    <row r="39" spans="1:42" s="82" customFormat="1">
      <c r="A39" s="57" t="s">
        <v>113</v>
      </c>
      <c r="B39" s="7">
        <v>1.6</v>
      </c>
      <c r="C39" s="7">
        <v>3.75</v>
      </c>
      <c r="D39" s="7">
        <f t="shared" si="23"/>
        <v>10.7</v>
      </c>
      <c r="E39" s="81">
        <f t="shared" si="24"/>
        <v>34.699999999999996</v>
      </c>
      <c r="F39" s="81">
        <f t="shared" si="25"/>
        <v>6</v>
      </c>
      <c r="G39" s="81">
        <f t="shared" si="3"/>
        <v>6</v>
      </c>
      <c r="H39" s="63"/>
      <c r="I39" s="64"/>
      <c r="J39" s="63"/>
      <c r="K39" s="64"/>
      <c r="L39" s="63"/>
      <c r="M39" s="64"/>
      <c r="N39" s="63"/>
      <c r="O39" s="64"/>
      <c r="P39" s="78">
        <v>0.8</v>
      </c>
      <c r="Q39" s="79">
        <v>2.1</v>
      </c>
      <c r="R39" s="63"/>
      <c r="S39" s="64"/>
      <c r="T39" s="63"/>
      <c r="U39" s="64"/>
      <c r="V39" s="63"/>
      <c r="W39" s="64"/>
      <c r="X39" s="63"/>
      <c r="Y39" s="64"/>
      <c r="Z39" s="63"/>
      <c r="AA39" s="64"/>
      <c r="AB39" s="63"/>
      <c r="AC39" s="64"/>
      <c r="AD39" s="63"/>
      <c r="AE39" s="64"/>
      <c r="AI39" s="83"/>
      <c r="AJ39" s="83"/>
      <c r="AK39" s="83"/>
      <c r="AL39" s="83"/>
      <c r="AM39" s="83"/>
      <c r="AN39" s="83"/>
      <c r="AO39" s="83"/>
      <c r="AP39" s="83"/>
    </row>
    <row r="40" spans="1:42" s="82" customFormat="1">
      <c r="A40" s="57" t="s">
        <v>115</v>
      </c>
      <c r="B40" s="7">
        <v>5.0999999999999996</v>
      </c>
      <c r="C40" s="7">
        <v>4.0199999999999996</v>
      </c>
      <c r="D40" s="7">
        <f t="shared" si="23"/>
        <v>18.239999999999998</v>
      </c>
      <c r="E40" s="81">
        <f t="shared" si="24"/>
        <v>44.609999999999992</v>
      </c>
      <c r="F40" s="81">
        <f t="shared" si="25"/>
        <v>20.501999999999995</v>
      </c>
      <c r="G40" s="81">
        <f t="shared" si="3"/>
        <v>20.501999999999995</v>
      </c>
      <c r="H40" s="78">
        <v>5.0999999999999996</v>
      </c>
      <c r="I40" s="79">
        <v>1</v>
      </c>
      <c r="J40" s="63"/>
      <c r="K40" s="64"/>
      <c r="L40" s="63"/>
      <c r="M40" s="64"/>
      <c r="N40" s="63"/>
      <c r="O40" s="64"/>
      <c r="P40" s="78">
        <v>1.48</v>
      </c>
      <c r="Q40" s="79">
        <v>2.1</v>
      </c>
      <c r="R40" s="78">
        <v>1.48</v>
      </c>
      <c r="S40" s="79">
        <v>2.1</v>
      </c>
      <c r="T40" s="78">
        <v>0.8</v>
      </c>
      <c r="U40" s="79">
        <v>2.1</v>
      </c>
      <c r="V40" s="78">
        <v>2.1</v>
      </c>
      <c r="W40" s="79">
        <v>2.1</v>
      </c>
      <c r="X40" s="63"/>
      <c r="Y40" s="64"/>
      <c r="Z40" s="63"/>
      <c r="AA40" s="64"/>
      <c r="AB40" s="63"/>
      <c r="AC40" s="64"/>
      <c r="AD40" s="63"/>
      <c r="AE40" s="64"/>
      <c r="AI40" s="83"/>
      <c r="AJ40" s="83"/>
      <c r="AK40" s="83"/>
      <c r="AL40" s="83"/>
      <c r="AM40" s="83"/>
      <c r="AN40" s="83"/>
      <c r="AO40" s="83"/>
      <c r="AP40" s="83"/>
    </row>
    <row r="41" spans="1:42" s="82" customFormat="1">
      <c r="A41" s="57" t="s">
        <v>111</v>
      </c>
      <c r="B41" s="7">
        <v>1.85</v>
      </c>
      <c r="C41" s="7">
        <v>4.5</v>
      </c>
      <c r="D41" s="7">
        <f t="shared" si="23"/>
        <v>12.7</v>
      </c>
      <c r="E41" s="81">
        <f t="shared" si="24"/>
        <v>39.65</v>
      </c>
      <c r="F41" s="81">
        <f t="shared" si="25"/>
        <v>8.3250000000000011</v>
      </c>
      <c r="G41" s="81">
        <f t="shared" si="3"/>
        <v>8.3250000000000011</v>
      </c>
      <c r="H41" s="78">
        <v>1.85</v>
      </c>
      <c r="I41" s="79">
        <v>1</v>
      </c>
      <c r="J41" s="63"/>
      <c r="K41" s="64"/>
      <c r="L41" s="63"/>
      <c r="M41" s="64"/>
      <c r="N41" s="63"/>
      <c r="O41" s="64"/>
      <c r="P41" s="78">
        <v>0.8</v>
      </c>
      <c r="Q41" s="79">
        <v>2.1</v>
      </c>
      <c r="R41" s="63"/>
      <c r="S41" s="64"/>
      <c r="T41" s="63"/>
      <c r="U41" s="64"/>
      <c r="V41" s="63"/>
      <c r="W41" s="64"/>
      <c r="X41" s="63"/>
      <c r="Y41" s="64"/>
      <c r="Z41" s="63"/>
      <c r="AA41" s="64"/>
      <c r="AB41" s="63"/>
      <c r="AC41" s="64"/>
      <c r="AD41" s="63"/>
      <c r="AE41" s="64"/>
      <c r="AI41" s="83"/>
      <c r="AJ41" s="83"/>
      <c r="AK41" s="83"/>
      <c r="AL41" s="83"/>
      <c r="AM41" s="83"/>
      <c r="AN41" s="83"/>
      <c r="AO41" s="83"/>
      <c r="AP41" s="83"/>
    </row>
    <row r="42" spans="1:42" s="82" customFormat="1">
      <c r="A42" s="57" t="s">
        <v>117</v>
      </c>
      <c r="B42" s="7">
        <v>2</v>
      </c>
      <c r="C42" s="7">
        <v>3.35</v>
      </c>
      <c r="D42" s="7">
        <f t="shared" si="23"/>
        <v>10.7</v>
      </c>
      <c r="E42" s="81">
        <f t="shared" si="24"/>
        <v>32.489999999999995</v>
      </c>
      <c r="F42" s="81">
        <f t="shared" si="25"/>
        <v>6.7</v>
      </c>
      <c r="G42" s="81">
        <f t="shared" si="3"/>
        <v>6.7</v>
      </c>
      <c r="H42" s="78">
        <v>2</v>
      </c>
      <c r="I42" s="79">
        <v>1</v>
      </c>
      <c r="J42" s="63"/>
      <c r="K42" s="64"/>
      <c r="L42" s="63"/>
      <c r="M42" s="64"/>
      <c r="N42" s="63"/>
      <c r="O42" s="64"/>
      <c r="P42" s="78">
        <v>0.9</v>
      </c>
      <c r="Q42" s="79">
        <v>2.1</v>
      </c>
      <c r="R42" s="63"/>
      <c r="S42" s="64"/>
      <c r="T42" s="63"/>
      <c r="U42" s="64"/>
      <c r="V42" s="63"/>
      <c r="W42" s="64"/>
      <c r="X42" s="63"/>
      <c r="Y42" s="64"/>
      <c r="Z42" s="63"/>
      <c r="AA42" s="64"/>
      <c r="AB42" s="63"/>
      <c r="AC42" s="64"/>
      <c r="AD42" s="63"/>
      <c r="AE42" s="64"/>
      <c r="AI42" s="83"/>
      <c r="AJ42" s="83"/>
      <c r="AK42" s="83"/>
      <c r="AL42" s="83"/>
      <c r="AM42" s="83"/>
      <c r="AN42" s="83"/>
      <c r="AO42" s="83"/>
      <c r="AP42" s="83"/>
    </row>
    <row r="43" spans="1:42" s="82" customFormat="1">
      <c r="A43" s="57" t="s">
        <v>117</v>
      </c>
      <c r="B43" s="7">
        <v>2</v>
      </c>
      <c r="C43" s="7">
        <v>3.35</v>
      </c>
      <c r="D43" s="7">
        <f t="shared" si="23"/>
        <v>10.7</v>
      </c>
      <c r="E43" s="81">
        <f t="shared" si="24"/>
        <v>32.489999999999995</v>
      </c>
      <c r="F43" s="81">
        <f t="shared" si="25"/>
        <v>6.7</v>
      </c>
      <c r="G43" s="81">
        <f t="shared" si="3"/>
        <v>6.7</v>
      </c>
      <c r="H43" s="78">
        <v>2</v>
      </c>
      <c r="I43" s="79">
        <v>1</v>
      </c>
      <c r="J43" s="63"/>
      <c r="K43" s="64"/>
      <c r="L43" s="63"/>
      <c r="M43" s="64"/>
      <c r="N43" s="63"/>
      <c r="O43" s="64"/>
      <c r="P43" s="78">
        <v>0.9</v>
      </c>
      <c r="Q43" s="79">
        <v>2.1</v>
      </c>
      <c r="R43" s="63"/>
      <c r="S43" s="64"/>
      <c r="T43" s="63"/>
      <c r="U43" s="64"/>
      <c r="V43" s="63"/>
      <c r="W43" s="64"/>
      <c r="X43" s="63"/>
      <c r="Y43" s="64"/>
      <c r="Z43" s="63"/>
      <c r="AA43" s="64"/>
      <c r="AB43" s="63"/>
      <c r="AC43" s="64"/>
      <c r="AD43" s="63"/>
      <c r="AE43" s="64"/>
      <c r="AI43" s="83"/>
      <c r="AJ43" s="83"/>
      <c r="AK43" s="83"/>
      <c r="AL43" s="83"/>
      <c r="AM43" s="83"/>
      <c r="AN43" s="83"/>
      <c r="AO43" s="83"/>
      <c r="AP43" s="83"/>
    </row>
    <row r="44" spans="1:42" s="82" customFormat="1">
      <c r="A44" s="57" t="s">
        <v>130</v>
      </c>
      <c r="B44" s="80"/>
      <c r="C44" s="80"/>
      <c r="D44" s="7">
        <v>60.44</v>
      </c>
      <c r="E44" s="81">
        <f t="shared" si="24"/>
        <v>183.40599999999998</v>
      </c>
      <c r="F44" s="81">
        <v>149.12</v>
      </c>
      <c r="G44" s="81">
        <f t="shared" si="3"/>
        <v>149.12</v>
      </c>
      <c r="H44" s="78">
        <v>13.9</v>
      </c>
      <c r="I44" s="79">
        <v>1</v>
      </c>
      <c r="J44" s="63"/>
      <c r="K44" s="64"/>
      <c r="L44" s="63"/>
      <c r="M44" s="64"/>
      <c r="N44" s="63"/>
      <c r="O44" s="64"/>
      <c r="P44" s="78">
        <v>2.1</v>
      </c>
      <c r="Q44" s="79">
        <v>2.1</v>
      </c>
      <c r="R44" s="78">
        <v>0.9</v>
      </c>
      <c r="S44" s="79">
        <v>2.1</v>
      </c>
      <c r="T44" s="78">
        <v>0.9</v>
      </c>
      <c r="U44" s="79">
        <v>2.1</v>
      </c>
      <c r="V44" s="63"/>
      <c r="W44" s="64"/>
      <c r="X44" s="63"/>
      <c r="Y44" s="64"/>
      <c r="Z44" s="63"/>
      <c r="AA44" s="64"/>
      <c r="AB44" s="63"/>
      <c r="AC44" s="64"/>
      <c r="AD44" s="63"/>
      <c r="AE44" s="64"/>
      <c r="AI44" s="83"/>
      <c r="AJ44" s="83"/>
      <c r="AK44" s="83"/>
      <c r="AL44" s="83"/>
      <c r="AM44" s="83"/>
      <c r="AN44" s="83"/>
      <c r="AO44" s="83"/>
      <c r="AP44" s="83"/>
    </row>
    <row r="45" spans="1:42"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</row>
    <row r="46" spans="1:42" s="82" customFormat="1">
      <c r="A46" s="57" t="s">
        <v>24</v>
      </c>
      <c r="B46" s="80"/>
      <c r="C46" s="80"/>
      <c r="D46" s="7">
        <v>175.67</v>
      </c>
      <c r="E46" s="81">
        <f t="shared" si="24"/>
        <v>448.27299999999991</v>
      </c>
      <c r="F46" s="80"/>
      <c r="G46" s="80"/>
      <c r="H46" s="78">
        <f>7*2</f>
        <v>14</v>
      </c>
      <c r="I46" s="79">
        <v>1</v>
      </c>
      <c r="J46" s="78">
        <f>3*1</f>
        <v>3</v>
      </c>
      <c r="K46" s="79">
        <v>0.8</v>
      </c>
      <c r="L46" s="78">
        <f>3*3</f>
        <v>9</v>
      </c>
      <c r="M46" s="79">
        <v>1</v>
      </c>
      <c r="N46" s="78">
        <f>3*2.75</f>
        <v>8.25</v>
      </c>
      <c r="O46" s="79">
        <v>1</v>
      </c>
      <c r="P46" s="78">
        <v>7.75</v>
      </c>
      <c r="Q46" s="79">
        <v>9.5</v>
      </c>
      <c r="R46" s="78">
        <v>13.9</v>
      </c>
      <c r="S46" s="79">
        <v>1</v>
      </c>
      <c r="T46" s="78">
        <v>7.1</v>
      </c>
      <c r="U46" s="79">
        <v>1</v>
      </c>
      <c r="V46" s="78">
        <v>4.1500000000000004</v>
      </c>
      <c r="W46" s="79">
        <v>1</v>
      </c>
      <c r="X46" s="78">
        <v>3.35</v>
      </c>
      <c r="Y46" s="79">
        <v>1</v>
      </c>
      <c r="Z46" s="78">
        <v>11.55</v>
      </c>
      <c r="AA46" s="79">
        <v>1</v>
      </c>
      <c r="AB46" s="63"/>
      <c r="AC46" s="64"/>
      <c r="AD46" s="78">
        <v>0.8</v>
      </c>
      <c r="AE46" s="79">
        <v>2.1</v>
      </c>
    </row>
    <row r="47" spans="1:42" s="5" customFormat="1">
      <c r="A47" s="44" t="s">
        <v>25</v>
      </c>
      <c r="B47" s="9"/>
      <c r="C47" s="9"/>
      <c r="D47" s="9"/>
      <c r="E47" s="9"/>
      <c r="F47" s="9"/>
      <c r="G47" s="9"/>
      <c r="H47" s="63"/>
      <c r="I47" s="64"/>
      <c r="J47" s="63"/>
      <c r="K47" s="64"/>
      <c r="L47" s="63"/>
      <c r="M47" s="64"/>
      <c r="N47" s="63"/>
      <c r="O47" s="64"/>
      <c r="P47" s="75"/>
      <c r="Q47" s="76"/>
      <c r="R47" s="75"/>
      <c r="S47" s="76"/>
      <c r="T47" s="75"/>
      <c r="U47" s="76"/>
      <c r="V47" s="75"/>
      <c r="W47" s="76"/>
      <c r="X47" s="75"/>
      <c r="Y47" s="76"/>
      <c r="Z47" s="75"/>
      <c r="AA47" s="76"/>
      <c r="AB47" s="75"/>
      <c r="AC47" s="76"/>
      <c r="AD47" s="75"/>
      <c r="AE47" s="76"/>
    </row>
    <row r="49" spans="5:7">
      <c r="E49" s="42"/>
    </row>
    <row r="50" spans="5:7">
      <c r="E50" s="42"/>
      <c r="G50" s="42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2"/>
  <sheetViews>
    <sheetView zoomScale="85" zoomScaleNormal="85" workbookViewId="0">
      <selection activeCell="A62" sqref="A62:XFD6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305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3" t="s">
        <v>121</v>
      </c>
      <c r="B5" s="9"/>
      <c r="C5" s="9"/>
      <c r="D5" s="6">
        <v>54.42</v>
      </c>
      <c r="E5" s="4">
        <f>(D5*$A$3)-((F5*G5)+(H5*I5)+(J5*K5)+(L5*M5)+(N5*O5)+(P5*Q5)+(R5*S5)+(T5*U5)+(V5*W5)+(X5*Y5)+(Z5*AA5)+(AB5*AC5))</f>
        <v>97.212999999999994</v>
      </c>
      <c r="F5" s="78">
        <v>3</v>
      </c>
      <c r="G5" s="79">
        <v>1</v>
      </c>
      <c r="H5" s="78">
        <v>3</v>
      </c>
      <c r="I5" s="79">
        <v>1</v>
      </c>
      <c r="J5" s="78">
        <v>7.75</v>
      </c>
      <c r="K5" s="79">
        <v>9.5</v>
      </c>
      <c r="L5" s="63"/>
      <c r="M5" s="64"/>
      <c r="N5" s="78">
        <v>0.9</v>
      </c>
      <c r="O5" s="79">
        <v>2.1</v>
      </c>
      <c r="P5" s="78">
        <v>0.9</v>
      </c>
      <c r="Q5" s="79">
        <v>2.1</v>
      </c>
      <c r="R5" s="78">
        <v>2.1</v>
      </c>
      <c r="S5" s="79">
        <v>2.1</v>
      </c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I5" s="1"/>
      <c r="AJ5" s="1"/>
      <c r="AK5" s="1"/>
      <c r="AL5" s="1"/>
      <c r="AM5" s="1"/>
      <c r="AN5" s="1"/>
    </row>
    <row r="6" spans="1:40">
      <c r="A6" s="53" t="s">
        <v>118</v>
      </c>
      <c r="B6" s="9"/>
      <c r="C6" s="9"/>
      <c r="D6" s="6">
        <v>27.06</v>
      </c>
      <c r="E6" s="4">
        <f t="shared" ref="E6:E28" si="0">(D6*$A$3)-((F6*G6)+(H6*I6)+(J6*K6)+(L6*M6)+(N6*O6)+(P6*Q6)+(R6*S6)+(T6*U6)+(V6*W6)+(X6*Y6)+(Z6*AA6)+(AB6*AC6))</f>
        <v>81.800999999999988</v>
      </c>
      <c r="F6" s="78">
        <v>3</v>
      </c>
      <c r="G6" s="79">
        <v>1</v>
      </c>
      <c r="H6" s="63"/>
      <c r="I6" s="64"/>
      <c r="J6" s="63"/>
      <c r="K6" s="64"/>
      <c r="L6" s="63"/>
      <c r="M6" s="64"/>
      <c r="N6" s="78">
        <v>2.1</v>
      </c>
      <c r="O6" s="79">
        <v>2.1</v>
      </c>
      <c r="P6" s="78">
        <v>1.33</v>
      </c>
      <c r="Q6" s="79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3" t="s">
        <v>110</v>
      </c>
      <c r="B7" s="6">
        <v>1.75</v>
      </c>
      <c r="C7" s="6">
        <v>1.45</v>
      </c>
      <c r="D7" s="6">
        <f t="shared" ref="D7" si="1">2*(B7+C7)</f>
        <v>6.4</v>
      </c>
      <c r="E7" s="4">
        <f t="shared" si="0"/>
        <v>18.967000000000002</v>
      </c>
      <c r="F7" s="63"/>
      <c r="G7" s="64"/>
      <c r="H7" s="63"/>
      <c r="I7" s="64"/>
      <c r="J7" s="63"/>
      <c r="K7" s="64"/>
      <c r="L7" s="63"/>
      <c r="M7" s="64"/>
      <c r="N7" s="78">
        <v>1.33</v>
      </c>
      <c r="O7" s="79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3" t="s">
        <v>122</v>
      </c>
      <c r="B8" s="9"/>
      <c r="C8" s="9"/>
      <c r="D8" s="6">
        <v>20.239999999999998</v>
      </c>
      <c r="E8" s="4">
        <f t="shared" si="0"/>
        <v>40.285999999999987</v>
      </c>
      <c r="F8" s="63"/>
      <c r="G8" s="64"/>
      <c r="H8" s="63"/>
      <c r="I8" s="64"/>
      <c r="J8" s="63"/>
      <c r="K8" s="64"/>
      <c r="L8" s="63"/>
      <c r="M8" s="64"/>
      <c r="N8" s="78">
        <v>2.1</v>
      </c>
      <c r="O8" s="79">
        <v>2.1</v>
      </c>
      <c r="P8" s="78">
        <v>0.8</v>
      </c>
      <c r="Q8" s="79">
        <v>2.1</v>
      </c>
      <c r="R8" s="63"/>
      <c r="S8" s="64"/>
      <c r="T8" s="63"/>
      <c r="U8" s="64"/>
      <c r="V8" s="63"/>
      <c r="W8" s="64"/>
      <c r="X8" s="63"/>
      <c r="Y8" s="64"/>
      <c r="Z8" s="63"/>
      <c r="AA8" s="64"/>
      <c r="AB8" s="78">
        <v>6.6</v>
      </c>
      <c r="AC8" s="79">
        <v>3.4</v>
      </c>
      <c r="AG8" s="1"/>
      <c r="AH8" s="1"/>
      <c r="AI8" s="1"/>
      <c r="AJ8" s="1"/>
      <c r="AK8" s="1"/>
      <c r="AL8" s="1"/>
      <c r="AM8" s="1"/>
      <c r="AN8" s="1"/>
    </row>
    <row r="9" spans="1:40">
      <c r="A9" s="53" t="s">
        <v>123</v>
      </c>
      <c r="B9" s="9"/>
      <c r="C9" s="9"/>
      <c r="D9" s="6">
        <v>56.3</v>
      </c>
      <c r="E9" s="4">
        <f t="shared" si="0"/>
        <v>174.98</v>
      </c>
      <c r="F9" s="78">
        <v>2.75</v>
      </c>
      <c r="G9" s="79">
        <v>1</v>
      </c>
      <c r="H9" s="78">
        <v>2.75</v>
      </c>
      <c r="I9" s="79">
        <v>1</v>
      </c>
      <c r="J9" s="78">
        <v>2.75</v>
      </c>
      <c r="K9" s="79">
        <v>1</v>
      </c>
      <c r="L9" s="63"/>
      <c r="M9" s="64"/>
      <c r="N9" s="78">
        <v>2.1</v>
      </c>
      <c r="O9" s="79">
        <v>2.1</v>
      </c>
      <c r="P9" s="78">
        <v>0.9</v>
      </c>
      <c r="Q9" s="79">
        <v>2.1</v>
      </c>
      <c r="R9" s="78">
        <v>0.9</v>
      </c>
      <c r="S9" s="79">
        <v>2.1</v>
      </c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3" t="s">
        <v>114</v>
      </c>
      <c r="B10" s="6">
        <v>1.9</v>
      </c>
      <c r="C10" s="6">
        <v>3.25</v>
      </c>
      <c r="D10" s="6">
        <f t="shared" ref="D10:D12" si="2">2*(B10+C10)</f>
        <v>10.3</v>
      </c>
      <c r="E10" s="4">
        <f t="shared" si="0"/>
        <v>28.560000000000002</v>
      </c>
      <c r="F10" s="63"/>
      <c r="G10" s="64"/>
      <c r="H10" s="63"/>
      <c r="I10" s="64"/>
      <c r="J10" s="63"/>
      <c r="K10" s="64"/>
      <c r="L10" s="63"/>
      <c r="M10" s="64"/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78">
        <v>1.9</v>
      </c>
      <c r="AC10" s="79">
        <v>3.4</v>
      </c>
      <c r="AG10" s="1"/>
      <c r="AH10" s="1"/>
      <c r="AI10" s="1"/>
      <c r="AJ10" s="1"/>
      <c r="AK10" s="1"/>
      <c r="AL10" s="1"/>
      <c r="AM10" s="1"/>
      <c r="AN10" s="1"/>
    </row>
    <row r="11" spans="1:40">
      <c r="A11" s="53" t="s">
        <v>112</v>
      </c>
      <c r="B11" s="6">
        <v>4.25</v>
      </c>
      <c r="C11" s="6">
        <v>2.0499999999999998</v>
      </c>
      <c r="D11" s="6">
        <f t="shared" si="2"/>
        <v>12.6</v>
      </c>
      <c r="E11" s="4">
        <f t="shared" si="0"/>
        <v>41.16</v>
      </c>
      <c r="F11" s="63"/>
      <c r="G11" s="64"/>
      <c r="H11" s="63"/>
      <c r="I11" s="64"/>
      <c r="J11" s="63"/>
      <c r="K11" s="64"/>
      <c r="L11" s="63"/>
      <c r="M11" s="64"/>
      <c r="N11" s="78">
        <v>0.8</v>
      </c>
      <c r="O11" s="79">
        <v>2.1</v>
      </c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G11" s="1"/>
      <c r="AH11" s="1"/>
      <c r="AI11" s="1"/>
      <c r="AJ11" s="1"/>
      <c r="AK11" s="1"/>
      <c r="AL11" s="1"/>
      <c r="AM11" s="1"/>
      <c r="AN11" s="1"/>
    </row>
    <row r="12" spans="1:40">
      <c r="A12" s="53" t="s">
        <v>114</v>
      </c>
      <c r="B12" s="6">
        <v>0.85</v>
      </c>
      <c r="C12" s="6">
        <v>2.0499999999999998</v>
      </c>
      <c r="D12" s="6">
        <f t="shared" si="2"/>
        <v>5.8</v>
      </c>
      <c r="E12" s="4">
        <f t="shared" si="0"/>
        <v>19.72</v>
      </c>
      <c r="F12" s="63"/>
      <c r="G12" s="64"/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53" t="s">
        <v>119</v>
      </c>
      <c r="B13" s="9"/>
      <c r="C13" s="9"/>
      <c r="D13" s="6">
        <v>25.76</v>
      </c>
      <c r="E13" s="4">
        <f t="shared" si="0"/>
        <v>81.494</v>
      </c>
      <c r="F13" s="63"/>
      <c r="G13" s="64"/>
      <c r="H13" s="63"/>
      <c r="I13" s="64"/>
      <c r="J13" s="63"/>
      <c r="K13" s="64"/>
      <c r="L13" s="63"/>
      <c r="M13" s="64"/>
      <c r="N13" s="78">
        <v>2.1</v>
      </c>
      <c r="O13" s="79">
        <v>2.1</v>
      </c>
      <c r="P13" s="78">
        <v>0.8</v>
      </c>
      <c r="Q13" s="79">
        <v>2.1</v>
      </c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53" t="s">
        <v>114</v>
      </c>
      <c r="B14" s="6">
        <v>1.5</v>
      </c>
      <c r="C14" s="6">
        <v>1.95</v>
      </c>
      <c r="D14" s="6">
        <f t="shared" ref="D14:D15" si="3">2*(B14+C14)</f>
        <v>6.9</v>
      </c>
      <c r="E14" s="4">
        <f t="shared" si="0"/>
        <v>23.46</v>
      </c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G14" s="1"/>
      <c r="AH14" s="1"/>
      <c r="AI14" s="1"/>
      <c r="AJ14" s="1"/>
      <c r="AK14" s="1"/>
      <c r="AL14" s="1"/>
      <c r="AM14" s="1"/>
      <c r="AN14" s="1"/>
    </row>
    <row r="15" spans="1:40">
      <c r="A15" s="53" t="s">
        <v>110</v>
      </c>
      <c r="B15" s="6">
        <v>2.9</v>
      </c>
      <c r="C15" s="6">
        <v>1.95</v>
      </c>
      <c r="D15" s="6">
        <f t="shared" si="3"/>
        <v>9.6999999999999993</v>
      </c>
      <c r="E15" s="4">
        <f t="shared" si="0"/>
        <v>30.669999999999995</v>
      </c>
      <c r="F15" s="63"/>
      <c r="G15" s="64"/>
      <c r="H15" s="63"/>
      <c r="I15" s="64"/>
      <c r="J15" s="63"/>
      <c r="K15" s="64"/>
      <c r="L15" s="63"/>
      <c r="M15" s="64"/>
      <c r="N15" s="78">
        <v>1.1000000000000001</v>
      </c>
      <c r="O15" s="79">
        <v>2.1</v>
      </c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G15" s="1"/>
      <c r="AH15" s="1"/>
      <c r="AI15" s="1"/>
      <c r="AJ15" s="1"/>
      <c r="AK15" s="1"/>
      <c r="AL15" s="1"/>
      <c r="AM15" s="1"/>
      <c r="AN15" s="1"/>
    </row>
    <row r="16" spans="1:40">
      <c r="A16" s="53" t="s">
        <v>124</v>
      </c>
      <c r="B16" s="9"/>
      <c r="C16" s="9"/>
      <c r="D16" s="6">
        <v>23.2</v>
      </c>
      <c r="E16" s="4">
        <f t="shared" si="0"/>
        <v>70.143999999999991</v>
      </c>
      <c r="F16" s="63"/>
      <c r="G16" s="64"/>
      <c r="H16" s="63"/>
      <c r="I16" s="64"/>
      <c r="J16" s="63"/>
      <c r="K16" s="64"/>
      <c r="L16" s="63"/>
      <c r="M16" s="64"/>
      <c r="N16" s="78">
        <v>0.8</v>
      </c>
      <c r="O16" s="79">
        <v>2.1</v>
      </c>
      <c r="P16" s="78">
        <v>0.9</v>
      </c>
      <c r="Q16" s="79">
        <v>2.1</v>
      </c>
      <c r="R16" s="78">
        <v>0.9</v>
      </c>
      <c r="S16" s="79">
        <v>2.1</v>
      </c>
      <c r="T16" s="63"/>
      <c r="U16" s="64"/>
      <c r="V16" s="63"/>
      <c r="W16" s="64"/>
      <c r="X16" s="63"/>
      <c r="Y16" s="64"/>
      <c r="Z16" s="63"/>
      <c r="AA16" s="64"/>
      <c r="AB16" s="78">
        <v>1.56</v>
      </c>
      <c r="AC16" s="79">
        <v>2.1</v>
      </c>
      <c r="AG16" s="1"/>
      <c r="AH16" s="1"/>
      <c r="AI16" s="1"/>
      <c r="AJ16" s="1"/>
      <c r="AK16" s="1"/>
      <c r="AL16" s="1"/>
      <c r="AM16" s="1"/>
      <c r="AN16" s="1"/>
    </row>
    <row r="17" spans="1:40">
      <c r="A17" s="53" t="s">
        <v>125</v>
      </c>
      <c r="B17" s="6">
        <v>7</v>
      </c>
      <c r="C17" s="6">
        <v>3.45</v>
      </c>
      <c r="D17" s="6">
        <f t="shared" ref="D17:D18" si="4">2*(B17+C17)</f>
        <v>20.9</v>
      </c>
      <c r="E17" s="4">
        <f t="shared" si="0"/>
        <v>64.85499999999999</v>
      </c>
      <c r="F17" s="78">
        <v>2</v>
      </c>
      <c r="G17" s="79">
        <v>1</v>
      </c>
      <c r="H17" s="78">
        <v>2</v>
      </c>
      <c r="I17" s="79">
        <v>1</v>
      </c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78">
        <v>1.05</v>
      </c>
      <c r="AA17" s="79">
        <v>2.1</v>
      </c>
      <c r="AB17" s="63"/>
      <c r="AC17" s="64"/>
      <c r="AG17" s="1"/>
      <c r="AH17" s="1"/>
      <c r="AI17" s="1"/>
      <c r="AJ17" s="1"/>
      <c r="AK17" s="1"/>
      <c r="AL17" s="1"/>
      <c r="AM17" s="1"/>
      <c r="AN17" s="1"/>
    </row>
    <row r="18" spans="1:40">
      <c r="A18" s="53" t="s">
        <v>120</v>
      </c>
      <c r="B18" s="6">
        <v>8.8000000000000007</v>
      </c>
      <c r="C18" s="6">
        <v>12.7</v>
      </c>
      <c r="D18" s="6">
        <f t="shared" si="4"/>
        <v>43</v>
      </c>
      <c r="E18" s="4">
        <f t="shared" si="0"/>
        <v>132.95999999999998</v>
      </c>
      <c r="F18" s="78">
        <v>2</v>
      </c>
      <c r="G18" s="79">
        <v>1</v>
      </c>
      <c r="H18" s="78">
        <v>2</v>
      </c>
      <c r="I18" s="79">
        <v>1</v>
      </c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78">
        <v>2.2000000000000002</v>
      </c>
      <c r="AA18" s="79">
        <v>2.1</v>
      </c>
      <c r="AB18" s="78">
        <v>2.2000000000000002</v>
      </c>
      <c r="AC18" s="79">
        <v>2.1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53" t="s">
        <v>4</v>
      </c>
      <c r="B19" s="9"/>
      <c r="C19" s="9"/>
      <c r="D19" s="6">
        <v>125.2</v>
      </c>
      <c r="E19" s="4">
        <f t="shared" si="0"/>
        <v>339.69</v>
      </c>
      <c r="F19" s="78">
        <v>2</v>
      </c>
      <c r="G19" s="79">
        <v>1</v>
      </c>
      <c r="H19" s="63"/>
      <c r="I19" s="64"/>
      <c r="J19" s="63"/>
      <c r="K19" s="64"/>
      <c r="L19" s="63"/>
      <c r="M19" s="64"/>
      <c r="N19" s="78">
        <f>6*2.1</f>
        <v>12.600000000000001</v>
      </c>
      <c r="O19" s="79">
        <v>2.1</v>
      </c>
      <c r="P19" s="78">
        <f>5*0.8</f>
        <v>4</v>
      </c>
      <c r="Q19" s="79">
        <v>2.1</v>
      </c>
      <c r="R19" s="78">
        <f>1.1*3</f>
        <v>3.3000000000000003</v>
      </c>
      <c r="S19" s="79">
        <v>2.1</v>
      </c>
      <c r="T19" s="78">
        <v>1.1000000000000001</v>
      </c>
      <c r="U19" s="79">
        <v>2.1</v>
      </c>
      <c r="V19" s="63"/>
      <c r="W19" s="64"/>
      <c r="X19" s="78">
        <v>1.75</v>
      </c>
      <c r="Y19" s="79">
        <v>1</v>
      </c>
      <c r="Z19" s="78">
        <f>2.2+2.2</f>
        <v>4.4000000000000004</v>
      </c>
      <c r="AA19" s="79">
        <v>2.1</v>
      </c>
      <c r="AB19" s="78">
        <f>6.6+1.9</f>
        <v>8.5</v>
      </c>
      <c r="AC19" s="79">
        <v>3.4</v>
      </c>
      <c r="AG19" s="1"/>
      <c r="AH19" s="1"/>
      <c r="AI19" s="1"/>
      <c r="AJ19" s="1"/>
      <c r="AK19" s="1"/>
      <c r="AL19" s="1"/>
      <c r="AM19" s="1"/>
      <c r="AN19" s="1"/>
    </row>
    <row r="20" spans="1:40">
      <c r="A20" s="53" t="s">
        <v>126</v>
      </c>
      <c r="B20" s="9"/>
      <c r="C20" s="9"/>
      <c r="D20" s="6">
        <v>17.71</v>
      </c>
      <c r="E20" s="4">
        <f t="shared" si="0"/>
        <v>49.393999999999998</v>
      </c>
      <c r="F20" s="78">
        <v>2</v>
      </c>
      <c r="G20" s="79">
        <v>1</v>
      </c>
      <c r="H20" s="63"/>
      <c r="I20" s="64"/>
      <c r="J20" s="63"/>
      <c r="K20" s="64"/>
      <c r="L20" s="63"/>
      <c r="M20" s="64"/>
      <c r="N20" s="78">
        <v>0.9</v>
      </c>
      <c r="O20" s="79">
        <v>2.1</v>
      </c>
      <c r="P20" s="78">
        <v>1.1000000000000001</v>
      </c>
      <c r="Q20" s="79">
        <v>2.1</v>
      </c>
      <c r="R20" s="78">
        <v>1.1000000000000001</v>
      </c>
      <c r="S20" s="79">
        <v>2.1</v>
      </c>
      <c r="T20" s="78">
        <v>1.1000000000000001</v>
      </c>
      <c r="U20" s="79">
        <v>2.1</v>
      </c>
      <c r="V20" s="63"/>
      <c r="W20" s="64"/>
      <c r="X20" s="63"/>
      <c r="Y20" s="64"/>
      <c r="Z20" s="63"/>
      <c r="AA20" s="64"/>
      <c r="AB20" s="63"/>
      <c r="AC20" s="64"/>
      <c r="AG20" s="1"/>
      <c r="AH20" s="1"/>
      <c r="AI20" s="1"/>
      <c r="AJ20" s="1"/>
      <c r="AK20" s="1"/>
      <c r="AL20" s="1"/>
      <c r="AM20" s="1"/>
      <c r="AN20" s="1"/>
    </row>
    <row r="21" spans="1:40">
      <c r="A21" s="53" t="s">
        <v>127</v>
      </c>
      <c r="B21" s="9"/>
      <c r="C21" s="9"/>
      <c r="D21" s="6">
        <v>17.71</v>
      </c>
      <c r="E21" s="4">
        <f t="shared" si="0"/>
        <v>51.393999999999998</v>
      </c>
      <c r="F21" s="63"/>
      <c r="G21" s="64"/>
      <c r="H21" s="63"/>
      <c r="I21" s="64"/>
      <c r="J21" s="63"/>
      <c r="K21" s="64"/>
      <c r="L21" s="63"/>
      <c r="M21" s="64"/>
      <c r="N21" s="78">
        <v>0.9</v>
      </c>
      <c r="O21" s="79">
        <v>2.1</v>
      </c>
      <c r="P21" s="78">
        <v>1.1000000000000001</v>
      </c>
      <c r="Q21" s="79">
        <v>2.1</v>
      </c>
      <c r="R21" s="78">
        <v>1.1000000000000001</v>
      </c>
      <c r="S21" s="79">
        <v>2.1</v>
      </c>
      <c r="T21" s="78">
        <v>1.1000000000000001</v>
      </c>
      <c r="U21" s="79">
        <v>2.1</v>
      </c>
      <c r="V21" s="63"/>
      <c r="W21" s="64"/>
      <c r="X21" s="63"/>
      <c r="Y21" s="64"/>
      <c r="Z21" s="63"/>
      <c r="AA21" s="64"/>
      <c r="AB21" s="63"/>
      <c r="AC21" s="64"/>
      <c r="AG21" s="1"/>
      <c r="AH21" s="1"/>
      <c r="AI21" s="1"/>
      <c r="AJ21" s="1"/>
      <c r="AK21" s="1"/>
      <c r="AL21" s="1"/>
      <c r="AM21" s="1"/>
      <c r="AN21" s="1"/>
    </row>
    <row r="22" spans="1:40">
      <c r="A22" s="53" t="s">
        <v>128</v>
      </c>
      <c r="B22" s="9"/>
      <c r="C22" s="9"/>
      <c r="D22" s="6">
        <v>58.94</v>
      </c>
      <c r="E22" s="4">
        <f t="shared" si="0"/>
        <v>173.55599999999998</v>
      </c>
      <c r="F22" s="78">
        <v>2</v>
      </c>
      <c r="G22" s="79">
        <v>1</v>
      </c>
      <c r="H22" s="78">
        <v>11.55</v>
      </c>
      <c r="I22" s="79">
        <v>1</v>
      </c>
      <c r="J22" s="78">
        <v>3.35</v>
      </c>
      <c r="K22" s="79">
        <v>1</v>
      </c>
      <c r="L22" s="63"/>
      <c r="M22" s="64"/>
      <c r="N22" s="78">
        <v>0.9</v>
      </c>
      <c r="O22" s="79">
        <v>2.1</v>
      </c>
      <c r="P22" s="78">
        <v>0.9</v>
      </c>
      <c r="Q22" s="79">
        <v>2.1</v>
      </c>
      <c r="R22" s="78">
        <v>2.1</v>
      </c>
      <c r="S22" s="79">
        <v>2.1</v>
      </c>
      <c r="T22" s="63"/>
      <c r="U22" s="64"/>
      <c r="V22" s="63"/>
      <c r="W22" s="64"/>
      <c r="X22" s="63"/>
      <c r="Y22" s="64"/>
      <c r="Z22" s="63"/>
      <c r="AA22" s="64"/>
      <c r="AB22" s="78">
        <v>1.75</v>
      </c>
      <c r="AC22" s="79">
        <v>1</v>
      </c>
      <c r="AG22" s="1"/>
      <c r="AH22" s="1"/>
      <c r="AI22" s="1"/>
      <c r="AJ22" s="1"/>
      <c r="AK22" s="1"/>
      <c r="AL22" s="1"/>
      <c r="AM22" s="1"/>
      <c r="AN22" s="1"/>
    </row>
    <row r="23" spans="1:40">
      <c r="A23" s="53" t="s">
        <v>129</v>
      </c>
      <c r="B23" s="6">
        <v>4.55</v>
      </c>
      <c r="C23" s="6">
        <v>2.75</v>
      </c>
      <c r="D23" s="6">
        <f t="shared" ref="D23:D27" si="5">2*(B23+C23)</f>
        <v>14.6</v>
      </c>
      <c r="E23" s="4">
        <f t="shared" si="0"/>
        <v>47.33</v>
      </c>
      <c r="F23" s="63"/>
      <c r="G23" s="64"/>
      <c r="H23" s="63"/>
      <c r="I23" s="64"/>
      <c r="J23" s="63"/>
      <c r="K23" s="64"/>
      <c r="L23" s="63"/>
      <c r="M23" s="64"/>
      <c r="N23" s="78">
        <v>1.1000000000000001</v>
      </c>
      <c r="O23" s="79">
        <v>2.1</v>
      </c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  <c r="AB23" s="63"/>
      <c r="AC23" s="64"/>
      <c r="AG23" s="1"/>
      <c r="AH23" s="1"/>
      <c r="AI23" s="1"/>
      <c r="AJ23" s="1"/>
      <c r="AK23" s="1"/>
      <c r="AL23" s="1"/>
      <c r="AM23" s="1"/>
      <c r="AN23" s="1"/>
    </row>
    <row r="24" spans="1:40">
      <c r="A24" s="53" t="s">
        <v>108</v>
      </c>
      <c r="B24" s="6">
        <v>1.65</v>
      </c>
      <c r="C24" s="6">
        <v>1.91</v>
      </c>
      <c r="D24" s="6">
        <f t="shared" si="5"/>
        <v>7.1199999999999992</v>
      </c>
      <c r="E24" s="4">
        <f t="shared" si="0"/>
        <v>21.099999999999998</v>
      </c>
      <c r="F24" s="63"/>
      <c r="G24" s="64"/>
      <c r="H24" s="63"/>
      <c r="I24" s="64"/>
      <c r="J24" s="63"/>
      <c r="K24" s="64"/>
      <c r="L24" s="63"/>
      <c r="M24" s="64"/>
      <c r="N24" s="78">
        <v>1.48</v>
      </c>
      <c r="O24" s="79">
        <v>2.1</v>
      </c>
      <c r="P24" s="63"/>
      <c r="Q24" s="64"/>
      <c r="R24" s="63"/>
      <c r="S24" s="64"/>
      <c r="T24" s="63"/>
      <c r="U24" s="64"/>
      <c r="V24" s="63"/>
      <c r="W24" s="64"/>
      <c r="X24" s="63"/>
      <c r="Y24" s="64"/>
      <c r="Z24" s="63"/>
      <c r="AA24" s="64"/>
      <c r="AB24" s="63"/>
      <c r="AC24" s="64"/>
    </row>
    <row r="25" spans="1:40">
      <c r="A25" s="53" t="s">
        <v>109</v>
      </c>
      <c r="B25" s="6">
        <v>1.65</v>
      </c>
      <c r="C25" s="6">
        <v>1.91</v>
      </c>
      <c r="D25" s="6">
        <f t="shared" si="5"/>
        <v>7.1199999999999992</v>
      </c>
      <c r="E25" s="4">
        <f t="shared" si="0"/>
        <v>21.099999999999998</v>
      </c>
      <c r="F25" s="63"/>
      <c r="G25" s="64"/>
      <c r="H25" s="63"/>
      <c r="I25" s="64"/>
      <c r="J25" s="63"/>
      <c r="K25" s="64"/>
      <c r="L25" s="63"/>
      <c r="M25" s="64"/>
      <c r="N25" s="78">
        <v>1.48</v>
      </c>
      <c r="O25" s="79">
        <v>2.1</v>
      </c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  <c r="AB25" s="63"/>
      <c r="AC25" s="64"/>
    </row>
    <row r="26" spans="1:40">
      <c r="A26" s="53" t="s">
        <v>115</v>
      </c>
      <c r="B26" s="6">
        <v>5.0999999999999996</v>
      </c>
      <c r="C26" s="6">
        <v>4.0199999999999996</v>
      </c>
      <c r="D26" s="6">
        <f t="shared" si="5"/>
        <v>18.239999999999998</v>
      </c>
      <c r="E26" s="4">
        <f t="shared" si="0"/>
        <v>44.609999999999992</v>
      </c>
      <c r="F26" s="78">
        <v>5.0999999999999996</v>
      </c>
      <c r="G26" s="79">
        <v>1</v>
      </c>
      <c r="H26" s="63"/>
      <c r="I26" s="64"/>
      <c r="J26" s="63"/>
      <c r="K26" s="64"/>
      <c r="L26" s="63"/>
      <c r="M26" s="64"/>
      <c r="N26" s="78">
        <v>1.48</v>
      </c>
      <c r="O26" s="79">
        <v>2.1</v>
      </c>
      <c r="P26" s="78">
        <v>1.48</v>
      </c>
      <c r="Q26" s="79">
        <v>2.1</v>
      </c>
      <c r="R26" s="78">
        <v>0.8</v>
      </c>
      <c r="S26" s="79">
        <v>2.1</v>
      </c>
      <c r="T26" s="78">
        <v>2.1</v>
      </c>
      <c r="U26" s="79">
        <v>2.1</v>
      </c>
      <c r="V26" s="63"/>
      <c r="W26" s="64"/>
      <c r="X26" s="63"/>
      <c r="Y26" s="64"/>
      <c r="Z26" s="63"/>
      <c r="AA26" s="64"/>
      <c r="AB26" s="63"/>
      <c r="AC26" s="64"/>
    </row>
    <row r="27" spans="1:40">
      <c r="A27" s="53" t="s">
        <v>111</v>
      </c>
      <c r="B27" s="6">
        <v>1.85</v>
      </c>
      <c r="C27" s="6">
        <v>4.5</v>
      </c>
      <c r="D27" s="6">
        <f t="shared" si="5"/>
        <v>12.7</v>
      </c>
      <c r="E27" s="4">
        <f t="shared" si="0"/>
        <v>39.65</v>
      </c>
      <c r="F27" s="78">
        <v>1.85</v>
      </c>
      <c r="G27" s="79">
        <v>1</v>
      </c>
      <c r="H27" s="63"/>
      <c r="I27" s="64"/>
      <c r="J27" s="63"/>
      <c r="K27" s="64"/>
      <c r="L27" s="63"/>
      <c r="M27" s="64"/>
      <c r="N27" s="78">
        <v>0.8</v>
      </c>
      <c r="O27" s="79">
        <v>2.1</v>
      </c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63"/>
      <c r="AA27" s="64"/>
      <c r="AB27" s="63"/>
      <c r="AC27" s="64"/>
    </row>
    <row r="28" spans="1:40">
      <c r="A28" s="53" t="s">
        <v>130</v>
      </c>
      <c r="B28" s="9"/>
      <c r="C28" s="9"/>
      <c r="D28" s="6">
        <v>60.44</v>
      </c>
      <c r="E28" s="4">
        <f t="shared" si="0"/>
        <v>183.40599999999998</v>
      </c>
      <c r="F28" s="78">
        <v>13.9</v>
      </c>
      <c r="G28" s="79">
        <v>1</v>
      </c>
      <c r="H28" s="63"/>
      <c r="I28" s="64"/>
      <c r="J28" s="63"/>
      <c r="K28" s="64"/>
      <c r="L28" s="63"/>
      <c r="M28" s="64"/>
      <c r="N28" s="78">
        <v>2.1</v>
      </c>
      <c r="O28" s="79">
        <v>2.1</v>
      </c>
      <c r="P28" s="78">
        <v>0.9</v>
      </c>
      <c r="Q28" s="79">
        <v>2.1</v>
      </c>
      <c r="R28" s="78">
        <v>0.9</v>
      </c>
      <c r="S28" s="79">
        <v>2.1</v>
      </c>
      <c r="T28" s="63"/>
      <c r="U28" s="64"/>
      <c r="V28" s="63"/>
      <c r="W28" s="64"/>
      <c r="X28" s="63"/>
      <c r="Y28" s="64"/>
      <c r="Z28" s="63"/>
      <c r="AA28" s="64"/>
      <c r="AB28" s="63"/>
      <c r="AC28" s="64"/>
    </row>
    <row r="29" spans="1:40">
      <c r="E29" s="143"/>
    </row>
    <row r="30" spans="1:40">
      <c r="A30" s="53" t="s">
        <v>24</v>
      </c>
      <c r="B30" s="9"/>
      <c r="C30" s="9"/>
      <c r="D30" s="6">
        <f>175.67-4.2-21.9</f>
        <v>149.57</v>
      </c>
      <c r="E30" s="4">
        <f>(D30*($A$3+0.35))-((F30*G30)+(H30*I30)+(J30*K30)+(L30*M30)+(N30*O30)+(P30*Q30)+(R30*S30)+(T30*U30)+(V30*W30)+(X30*Y30)+(Z30*AA30)+(AB30*AC30))</f>
        <v>411.88249999999994</v>
      </c>
      <c r="F30" s="78">
        <f>7*2</f>
        <v>14</v>
      </c>
      <c r="G30" s="79">
        <v>1</v>
      </c>
      <c r="H30" s="78">
        <f>3*1</f>
        <v>3</v>
      </c>
      <c r="I30" s="79">
        <v>0.8</v>
      </c>
      <c r="J30" s="78">
        <f>3*3</f>
        <v>9</v>
      </c>
      <c r="K30" s="79">
        <v>1</v>
      </c>
      <c r="L30" s="78">
        <f>3*2.75</f>
        <v>8.25</v>
      </c>
      <c r="M30" s="79">
        <v>1</v>
      </c>
      <c r="N30" s="78">
        <v>7.75</v>
      </c>
      <c r="O30" s="79">
        <v>9.5</v>
      </c>
      <c r="P30" s="78">
        <v>13.9</v>
      </c>
      <c r="Q30" s="79">
        <v>1</v>
      </c>
      <c r="R30" s="78">
        <v>7.1</v>
      </c>
      <c r="S30" s="79">
        <v>1</v>
      </c>
      <c r="T30" s="78">
        <v>4.1500000000000004</v>
      </c>
      <c r="U30" s="79">
        <v>1</v>
      </c>
      <c r="V30" s="78">
        <v>3.35</v>
      </c>
      <c r="W30" s="79">
        <v>1</v>
      </c>
      <c r="X30" s="78">
        <v>11.55</v>
      </c>
      <c r="Y30" s="79">
        <v>1</v>
      </c>
      <c r="Z30" s="63"/>
      <c r="AA30" s="64"/>
      <c r="AB30" s="78">
        <v>0.8</v>
      </c>
      <c r="AC30" s="79">
        <v>2.1</v>
      </c>
    </row>
    <row r="31" spans="1:40">
      <c r="A31" s="53" t="s">
        <v>25</v>
      </c>
      <c r="B31" s="9"/>
      <c r="C31" s="9"/>
      <c r="D31" s="9"/>
      <c r="E31" s="9"/>
      <c r="F31" s="63"/>
      <c r="G31" s="64"/>
      <c r="H31" s="63"/>
      <c r="I31" s="64"/>
      <c r="J31" s="63"/>
      <c r="K31" s="64"/>
      <c r="L31" s="63"/>
      <c r="M31" s="64"/>
      <c r="N31" s="75"/>
      <c r="O31" s="76"/>
      <c r="P31" s="75"/>
      <c r="Q31" s="76"/>
      <c r="R31" s="75"/>
      <c r="S31" s="76"/>
      <c r="T31" s="75"/>
      <c r="U31" s="76"/>
      <c r="V31" s="75"/>
      <c r="W31" s="76"/>
      <c r="X31" s="75"/>
      <c r="Y31" s="76"/>
      <c r="Z31" s="75"/>
      <c r="AA31" s="76"/>
      <c r="AB31" s="75"/>
      <c r="AC31" s="76"/>
    </row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spans="1:29" hidden="1"/>
    <row r="50" spans="1:29">
      <c r="E50" s="42"/>
    </row>
    <row r="51" spans="1:29">
      <c r="A51" s="53" t="s">
        <v>83</v>
      </c>
      <c r="B51" s="163">
        <f>SUM(E5:E31)</f>
        <v>2289.3824999999997</v>
      </c>
      <c r="C51" s="164"/>
    </row>
    <row r="52" spans="1:29" hidden="1">
      <c r="A52" s="5" t="s">
        <v>321</v>
      </c>
    </row>
    <row r="58" spans="1:29">
      <c r="A58" s="154" t="s">
        <v>306</v>
      </c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</row>
    <row r="59" spans="1:29">
      <c r="A59" s="129" t="s">
        <v>292</v>
      </c>
      <c r="B59" s="9"/>
      <c r="C59" s="9"/>
      <c r="D59" s="16"/>
      <c r="E59" s="16"/>
      <c r="F59" s="16"/>
      <c r="G59" s="17"/>
      <c r="H59" s="16"/>
      <c r="I59" s="17"/>
      <c r="J59" s="16"/>
      <c r="K59" s="17"/>
      <c r="L59" s="16"/>
      <c r="M59" s="17"/>
      <c r="N59" s="16"/>
      <c r="O59" s="17"/>
      <c r="P59" s="16"/>
      <c r="Q59" s="17"/>
      <c r="R59" s="16"/>
      <c r="S59" s="17"/>
      <c r="T59" s="16"/>
      <c r="U59" s="17"/>
      <c r="V59" s="16"/>
      <c r="W59" s="17"/>
      <c r="X59" s="16"/>
      <c r="Y59" s="17"/>
      <c r="Z59" s="16"/>
      <c r="AA59" s="17"/>
      <c r="AB59" s="16"/>
      <c r="AC59" s="17"/>
    </row>
    <row r="61" spans="1:29">
      <c r="A61" s="129" t="s">
        <v>83</v>
      </c>
      <c r="B61" s="155">
        <f>SUM(E59)</f>
        <v>0</v>
      </c>
      <c r="C61" s="156"/>
    </row>
    <row r="62" spans="1:29" hidden="1">
      <c r="A62" s="5" t="s">
        <v>293</v>
      </c>
    </row>
  </sheetData>
  <mergeCells count="17">
    <mergeCell ref="B61:C61"/>
    <mergeCell ref="X3:Y3"/>
    <mergeCell ref="Z3:AA3"/>
    <mergeCell ref="AB3:AC3"/>
    <mergeCell ref="B51:C51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A1:AC1"/>
    <mergeCell ref="A58:AC58"/>
    <mergeCell ref="F2:AC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9"/>
  <sheetViews>
    <sheetView zoomScale="85" zoomScaleNormal="85" workbookViewId="0">
      <selection activeCell="D36" sqref="D3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307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1" t="s">
        <v>117</v>
      </c>
      <c r="B5" s="6">
        <v>1.95</v>
      </c>
      <c r="C5" s="6">
        <v>2.5</v>
      </c>
      <c r="D5" s="6">
        <f t="shared" ref="D5:D7" si="0">2*(B5+C5)</f>
        <v>8.9</v>
      </c>
      <c r="E5" s="4">
        <f t="shared" ref="E5:E21" si="1">(D5*$A$3)-((F5*G5)+(H5*I5)+(J5*K5)+(L5*M5)+(N5*O5)+(P5*Q5)+(R5*S5)+(T5*U5)+(V5*W5)+(X5*Y5)+(Z5*AA5)+(AB5*AC5))</f>
        <v>27.57</v>
      </c>
      <c r="F5" s="78">
        <v>1</v>
      </c>
      <c r="G5" s="79">
        <v>0.8</v>
      </c>
      <c r="H5" s="63"/>
      <c r="I5" s="64"/>
      <c r="J5" s="63"/>
      <c r="K5" s="64"/>
      <c r="L5" s="63"/>
      <c r="M5" s="64"/>
      <c r="N5" s="78">
        <v>0.9</v>
      </c>
      <c r="O5" s="79">
        <v>2.1</v>
      </c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K5" s="1"/>
      <c r="AL5" s="1"/>
    </row>
    <row r="6" spans="1:40">
      <c r="A6" s="51" t="s">
        <v>117</v>
      </c>
      <c r="B6" s="6">
        <v>1.95</v>
      </c>
      <c r="C6" s="6">
        <v>2.5</v>
      </c>
      <c r="D6" s="6">
        <f t="shared" si="0"/>
        <v>8.9</v>
      </c>
      <c r="E6" s="4">
        <f t="shared" si="1"/>
        <v>28.37</v>
      </c>
      <c r="F6" s="63"/>
      <c r="G6" s="64"/>
      <c r="H6" s="63"/>
      <c r="I6" s="64"/>
      <c r="J6" s="63"/>
      <c r="K6" s="64"/>
      <c r="L6" s="63"/>
      <c r="M6" s="64"/>
      <c r="N6" s="78">
        <v>0.9</v>
      </c>
      <c r="O6" s="79">
        <v>2.1</v>
      </c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1" t="s">
        <v>116</v>
      </c>
      <c r="B7" s="6">
        <v>1.95</v>
      </c>
      <c r="C7" s="6">
        <v>3.83</v>
      </c>
      <c r="D7" s="6">
        <f t="shared" si="0"/>
        <v>11.56</v>
      </c>
      <c r="E7" s="4">
        <f t="shared" si="1"/>
        <v>37.624000000000002</v>
      </c>
      <c r="F7" s="63"/>
      <c r="G7" s="64"/>
      <c r="H7" s="63"/>
      <c r="I7" s="64"/>
      <c r="J7" s="63"/>
      <c r="K7" s="64"/>
      <c r="L7" s="63"/>
      <c r="M7" s="64"/>
      <c r="N7" s="78">
        <v>0.8</v>
      </c>
      <c r="O7" s="79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1" t="s">
        <v>117</v>
      </c>
      <c r="B8" s="6">
        <v>2.35</v>
      </c>
      <c r="C8" s="6">
        <v>1.8</v>
      </c>
      <c r="D8" s="6">
        <f t="shared" ref="D8:D10" si="2">2*(B8+C8)</f>
        <v>8.3000000000000007</v>
      </c>
      <c r="E8" s="4">
        <f t="shared" si="1"/>
        <v>25.53</v>
      </c>
      <c r="F8" s="78">
        <v>1</v>
      </c>
      <c r="G8" s="79">
        <v>0.8</v>
      </c>
      <c r="H8" s="63"/>
      <c r="I8" s="64"/>
      <c r="J8" s="63"/>
      <c r="K8" s="64"/>
      <c r="L8" s="63"/>
      <c r="M8" s="64"/>
      <c r="N8" s="78">
        <v>0.9</v>
      </c>
      <c r="O8" s="79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51" t="s">
        <v>117</v>
      </c>
      <c r="B9" s="6">
        <v>2.35</v>
      </c>
      <c r="C9" s="6">
        <v>1.8</v>
      </c>
      <c r="D9" s="6">
        <f t="shared" si="2"/>
        <v>8.3000000000000007</v>
      </c>
      <c r="E9" s="4">
        <f t="shared" si="1"/>
        <v>25.53</v>
      </c>
      <c r="F9" s="78">
        <v>1</v>
      </c>
      <c r="G9" s="79">
        <v>0.8</v>
      </c>
      <c r="H9" s="63"/>
      <c r="I9" s="64"/>
      <c r="J9" s="63"/>
      <c r="K9" s="64"/>
      <c r="L9" s="63"/>
      <c r="M9" s="64"/>
      <c r="N9" s="78">
        <v>0.9</v>
      </c>
      <c r="O9" s="79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1" t="s">
        <v>116</v>
      </c>
      <c r="B10" s="6">
        <v>1.9</v>
      </c>
      <c r="C10" s="6">
        <v>3.6</v>
      </c>
      <c r="D10" s="6">
        <f t="shared" si="2"/>
        <v>11</v>
      </c>
      <c r="E10" s="4">
        <f t="shared" si="1"/>
        <v>35.72</v>
      </c>
      <c r="F10" s="63"/>
      <c r="G10" s="64"/>
      <c r="H10" s="63"/>
      <c r="I10" s="64"/>
      <c r="J10" s="63"/>
      <c r="K10" s="64"/>
      <c r="L10" s="63"/>
      <c r="M10" s="64"/>
      <c r="N10" s="78">
        <v>0.8</v>
      </c>
      <c r="O10" s="79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51" t="s">
        <v>117</v>
      </c>
      <c r="B11" s="6">
        <v>2.35</v>
      </c>
      <c r="C11" s="6">
        <v>1.95</v>
      </c>
      <c r="D11" s="6">
        <f t="shared" ref="D11:D13" si="3">2*(B11+C11)</f>
        <v>8.6</v>
      </c>
      <c r="E11" s="4">
        <f t="shared" si="1"/>
        <v>27.349999999999998</v>
      </c>
      <c r="F11" s="63"/>
      <c r="G11" s="64"/>
      <c r="H11" s="63"/>
      <c r="I11" s="64"/>
      <c r="J11" s="63"/>
      <c r="K11" s="64"/>
      <c r="L11" s="63"/>
      <c r="M11" s="64"/>
      <c r="N11" s="78">
        <v>0.9</v>
      </c>
      <c r="O11" s="79">
        <v>2.1</v>
      </c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G11" s="1"/>
      <c r="AH11" s="1"/>
      <c r="AI11" s="1"/>
      <c r="AJ11" s="1"/>
      <c r="AK11" s="1"/>
      <c r="AL11" s="1"/>
      <c r="AM11" s="1"/>
      <c r="AN11" s="1"/>
    </row>
    <row r="12" spans="1:40">
      <c r="A12" s="51" t="s">
        <v>5</v>
      </c>
      <c r="B12" s="6">
        <v>1.6</v>
      </c>
      <c r="C12" s="6">
        <v>2.35</v>
      </c>
      <c r="D12" s="6">
        <f t="shared" si="3"/>
        <v>7.9</v>
      </c>
      <c r="E12" s="4">
        <f t="shared" si="1"/>
        <v>25.18</v>
      </c>
      <c r="F12" s="63"/>
      <c r="G12" s="64"/>
      <c r="H12" s="63"/>
      <c r="I12" s="64"/>
      <c r="J12" s="63"/>
      <c r="K12" s="64"/>
      <c r="L12" s="63"/>
      <c r="M12" s="64"/>
      <c r="N12" s="78">
        <v>0.8</v>
      </c>
      <c r="O12" s="79">
        <v>2.1</v>
      </c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51" t="s">
        <v>117</v>
      </c>
      <c r="B13" s="6">
        <v>1.8</v>
      </c>
      <c r="C13" s="6">
        <v>2.35</v>
      </c>
      <c r="D13" s="6">
        <f t="shared" si="3"/>
        <v>8.3000000000000007</v>
      </c>
      <c r="E13" s="4">
        <f t="shared" si="1"/>
        <v>26.330000000000002</v>
      </c>
      <c r="F13" s="63"/>
      <c r="G13" s="64"/>
      <c r="H13" s="63"/>
      <c r="I13" s="64"/>
      <c r="J13" s="63"/>
      <c r="K13" s="64"/>
      <c r="L13" s="63"/>
      <c r="M13" s="64"/>
      <c r="N13" s="78">
        <v>0.9</v>
      </c>
      <c r="O13" s="79">
        <v>2.1</v>
      </c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51" t="s">
        <v>116</v>
      </c>
      <c r="B14" s="6">
        <v>2.17</v>
      </c>
      <c r="C14" s="6">
        <v>4.5</v>
      </c>
      <c r="D14" s="6">
        <f t="shared" ref="D14" si="4">2*(B14+C14)</f>
        <v>13.34</v>
      </c>
      <c r="E14" s="4">
        <f t="shared" si="1"/>
        <v>39.875</v>
      </c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78">
        <v>1.05</v>
      </c>
      <c r="AA14" s="79">
        <v>2.1</v>
      </c>
      <c r="AB14" s="78">
        <v>1.56</v>
      </c>
      <c r="AC14" s="79">
        <v>2.1</v>
      </c>
      <c r="AG14" s="1"/>
      <c r="AH14" s="1"/>
      <c r="AI14" s="1"/>
      <c r="AJ14" s="1"/>
      <c r="AK14" s="1"/>
      <c r="AL14" s="1"/>
      <c r="AM14" s="1"/>
      <c r="AN14" s="1"/>
    </row>
    <row r="15" spans="1:40">
      <c r="A15" s="51" t="s">
        <v>117</v>
      </c>
      <c r="B15" s="6">
        <v>1.8</v>
      </c>
      <c r="C15" s="6">
        <v>1.8</v>
      </c>
      <c r="D15" s="6">
        <f t="shared" ref="D15" si="5">2*(B15+C15)</f>
        <v>7.2</v>
      </c>
      <c r="E15" s="4">
        <f t="shared" si="1"/>
        <v>22.59</v>
      </c>
      <c r="F15" s="63"/>
      <c r="G15" s="64"/>
      <c r="H15" s="63"/>
      <c r="I15" s="64"/>
      <c r="J15" s="63"/>
      <c r="K15" s="64"/>
      <c r="L15" s="63"/>
      <c r="M15" s="64"/>
      <c r="N15" s="78">
        <v>0.9</v>
      </c>
      <c r="O15" s="79">
        <v>2.1</v>
      </c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G15" s="1"/>
      <c r="AH15" s="1"/>
      <c r="AI15" s="1"/>
      <c r="AJ15" s="1"/>
      <c r="AK15" s="1"/>
      <c r="AL15" s="1"/>
      <c r="AM15" s="1"/>
      <c r="AN15" s="1"/>
    </row>
    <row r="16" spans="1:40">
      <c r="A16" s="51" t="s">
        <v>117</v>
      </c>
      <c r="B16" s="6">
        <v>1.8</v>
      </c>
      <c r="C16" s="6">
        <v>1.8</v>
      </c>
      <c r="D16" s="6">
        <f t="shared" ref="D16" si="6">2*(B16+C16)</f>
        <v>7.2</v>
      </c>
      <c r="E16" s="4">
        <f t="shared" si="1"/>
        <v>22.59</v>
      </c>
      <c r="F16" s="63"/>
      <c r="G16" s="64"/>
      <c r="H16" s="63"/>
      <c r="I16" s="64"/>
      <c r="J16" s="63"/>
      <c r="K16" s="64"/>
      <c r="L16" s="63"/>
      <c r="M16" s="64"/>
      <c r="N16" s="78">
        <v>0.9</v>
      </c>
      <c r="O16" s="79">
        <v>2.1</v>
      </c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G16" s="1"/>
      <c r="AH16" s="1"/>
      <c r="AI16" s="1"/>
      <c r="AJ16" s="1"/>
      <c r="AK16" s="1"/>
      <c r="AL16" s="1"/>
      <c r="AM16" s="1"/>
      <c r="AN16" s="1"/>
    </row>
    <row r="17" spans="1:40">
      <c r="A17" s="51" t="s">
        <v>117</v>
      </c>
      <c r="B17" s="6">
        <v>2.8</v>
      </c>
      <c r="C17" s="6">
        <v>1.8</v>
      </c>
      <c r="D17" s="6">
        <f t="shared" ref="D17:D21" si="7">2*(B17+C17)</f>
        <v>9.1999999999999993</v>
      </c>
      <c r="E17" s="4">
        <f t="shared" si="1"/>
        <v>29.389999999999997</v>
      </c>
      <c r="F17" s="63"/>
      <c r="G17" s="64"/>
      <c r="H17" s="63"/>
      <c r="I17" s="64"/>
      <c r="J17" s="63"/>
      <c r="K17" s="64"/>
      <c r="L17" s="63"/>
      <c r="M17" s="64"/>
      <c r="N17" s="78">
        <v>0.9</v>
      </c>
      <c r="O17" s="79">
        <v>2.1</v>
      </c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  <c r="AG17" s="3"/>
      <c r="AH17" s="3"/>
      <c r="AI17" s="3"/>
      <c r="AJ17" s="3"/>
      <c r="AK17" s="3"/>
      <c r="AL17" s="3"/>
      <c r="AM17" s="3"/>
      <c r="AN17" s="3"/>
    </row>
    <row r="18" spans="1:40">
      <c r="A18" s="51" t="s">
        <v>117</v>
      </c>
      <c r="B18" s="6">
        <v>2.8</v>
      </c>
      <c r="C18" s="6">
        <v>1.8</v>
      </c>
      <c r="D18" s="6">
        <f t="shared" si="7"/>
        <v>9.1999999999999993</v>
      </c>
      <c r="E18" s="4">
        <f t="shared" si="1"/>
        <v>29.389999999999997</v>
      </c>
      <c r="F18" s="63"/>
      <c r="G18" s="64"/>
      <c r="H18" s="63"/>
      <c r="I18" s="64"/>
      <c r="J18" s="63"/>
      <c r="K18" s="64"/>
      <c r="L18" s="63"/>
      <c r="M18" s="64"/>
      <c r="N18" s="78">
        <v>0.9</v>
      </c>
      <c r="O18" s="79">
        <v>2.1</v>
      </c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</row>
    <row r="19" spans="1:40">
      <c r="A19" s="51" t="s">
        <v>113</v>
      </c>
      <c r="B19" s="6">
        <v>1.6</v>
      </c>
      <c r="C19" s="6">
        <v>3.75</v>
      </c>
      <c r="D19" s="6">
        <f t="shared" si="7"/>
        <v>10.7</v>
      </c>
      <c r="E19" s="4">
        <f t="shared" si="1"/>
        <v>34.699999999999996</v>
      </c>
      <c r="F19" s="63"/>
      <c r="G19" s="64"/>
      <c r="H19" s="63"/>
      <c r="I19" s="64"/>
      <c r="J19" s="63"/>
      <c r="K19" s="64"/>
      <c r="L19" s="63"/>
      <c r="M19" s="64"/>
      <c r="N19" s="78">
        <v>0.8</v>
      </c>
      <c r="O19" s="79">
        <v>2.1</v>
      </c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  <c r="AB19" s="63"/>
      <c r="AC19" s="64"/>
    </row>
    <row r="20" spans="1:40">
      <c r="A20" s="51" t="s">
        <v>117</v>
      </c>
      <c r="B20" s="6">
        <v>2</v>
      </c>
      <c r="C20" s="6">
        <v>3.35</v>
      </c>
      <c r="D20" s="6">
        <f t="shared" si="7"/>
        <v>10.7</v>
      </c>
      <c r="E20" s="4">
        <f t="shared" si="1"/>
        <v>32.489999999999995</v>
      </c>
      <c r="F20" s="78">
        <v>2</v>
      </c>
      <c r="G20" s="79">
        <v>1</v>
      </c>
      <c r="H20" s="63"/>
      <c r="I20" s="64"/>
      <c r="J20" s="63"/>
      <c r="K20" s="64"/>
      <c r="L20" s="63"/>
      <c r="M20" s="64"/>
      <c r="N20" s="78">
        <v>0.9</v>
      </c>
      <c r="O20" s="79">
        <v>2.1</v>
      </c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  <c r="AB20" s="63"/>
      <c r="AC20" s="64"/>
    </row>
    <row r="21" spans="1:40">
      <c r="A21" s="51" t="s">
        <v>117</v>
      </c>
      <c r="B21" s="6">
        <v>2</v>
      </c>
      <c r="C21" s="6">
        <v>3.35</v>
      </c>
      <c r="D21" s="6">
        <f t="shared" si="7"/>
        <v>10.7</v>
      </c>
      <c r="E21" s="4">
        <f t="shared" si="1"/>
        <v>32.489999999999995</v>
      </c>
      <c r="F21" s="78">
        <v>2</v>
      </c>
      <c r="G21" s="79">
        <v>1</v>
      </c>
      <c r="H21" s="63"/>
      <c r="I21" s="64"/>
      <c r="J21" s="63"/>
      <c r="K21" s="64"/>
      <c r="L21" s="63"/>
      <c r="M21" s="64"/>
      <c r="N21" s="78">
        <v>0.9</v>
      </c>
      <c r="O21" s="79">
        <v>2.1</v>
      </c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  <c r="AB21" s="63"/>
      <c r="AC21" s="64"/>
    </row>
    <row r="22" spans="1:40">
      <c r="A22" s="142" t="s">
        <v>435</v>
      </c>
      <c r="B22" s="9"/>
      <c r="C22" s="9"/>
      <c r="D22" s="6">
        <f>4.2+21.9</f>
        <v>26.099999999999998</v>
      </c>
      <c r="E22" s="4">
        <f>(D22*($A$3+0.35))-((F22*G22)+(H22*I22)+(J22*K22)+(L22*M22)+(N22*O22)+(P22*Q22)+(R22*S22)+(T22*U22)+(V22*W22)+(X22*Y22)+(Z22*AA22)+(AB22*AC22))</f>
        <v>97.874999999999986</v>
      </c>
      <c r="F22" s="63"/>
      <c r="G22" s="64"/>
      <c r="H22" s="63"/>
      <c r="I22" s="64"/>
      <c r="J22" s="63"/>
      <c r="K22" s="64"/>
      <c r="L22" s="63"/>
      <c r="M22" s="64"/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  <c r="AB22" s="63"/>
      <c r="AC22" s="64"/>
    </row>
    <row r="24" spans="1:40">
      <c r="A24" s="51" t="s">
        <v>83</v>
      </c>
      <c r="B24" s="155">
        <f>SUM(E5:E22)</f>
        <v>600.59399999999994</v>
      </c>
      <c r="C24" s="156"/>
    </row>
    <row r="25" spans="1:40" hidden="1">
      <c r="A25" s="5" t="s">
        <v>322</v>
      </c>
    </row>
    <row r="29" spans="1:40">
      <c r="B29" s="111"/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24"/>
  <sheetViews>
    <sheetView zoomScale="85" zoomScaleNormal="85" workbookViewId="0">
      <selection activeCell="A24" sqref="A24:XFD2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308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74" t="s">
        <v>117</v>
      </c>
      <c r="B5" s="6">
        <v>1.95</v>
      </c>
      <c r="C5" s="6">
        <v>2.5</v>
      </c>
      <c r="D5" s="6">
        <f t="shared" ref="D5:D21" si="0">2*(B5+C5)</f>
        <v>8.9</v>
      </c>
      <c r="E5" s="4">
        <f t="shared" ref="E5:E21" si="1">(D5*$A$3)-((F5*G5)+(H5*I5)+(J5*K5)+(L5*M5)+(N5*O5)+(P5*Q5)+(R5*S5)+(T5*U5)+(V5*W5)+(X5*Y5)+(Z5*AA5)+(AB5*AC5))</f>
        <v>27.57</v>
      </c>
      <c r="F5" s="78">
        <v>1</v>
      </c>
      <c r="G5" s="79">
        <v>0.8</v>
      </c>
      <c r="H5" s="63"/>
      <c r="I5" s="64"/>
      <c r="J5" s="63"/>
      <c r="K5" s="64"/>
      <c r="L5" s="63"/>
      <c r="M5" s="64"/>
      <c r="N5" s="78">
        <v>0.9</v>
      </c>
      <c r="O5" s="79">
        <v>2.1</v>
      </c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K5" s="1"/>
      <c r="AL5" s="1"/>
    </row>
    <row r="6" spans="1:40">
      <c r="A6" s="74" t="s">
        <v>117</v>
      </c>
      <c r="B6" s="6">
        <v>1.95</v>
      </c>
      <c r="C6" s="6">
        <v>2.5</v>
      </c>
      <c r="D6" s="6">
        <f t="shared" si="0"/>
        <v>8.9</v>
      </c>
      <c r="E6" s="4">
        <f t="shared" si="1"/>
        <v>28.37</v>
      </c>
      <c r="F6" s="63"/>
      <c r="G6" s="64"/>
      <c r="H6" s="63"/>
      <c r="I6" s="64"/>
      <c r="J6" s="63"/>
      <c r="K6" s="64"/>
      <c r="L6" s="63"/>
      <c r="M6" s="64"/>
      <c r="N6" s="78">
        <v>0.9</v>
      </c>
      <c r="O6" s="79">
        <v>2.1</v>
      </c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74" t="s">
        <v>116</v>
      </c>
      <c r="B7" s="6">
        <v>1.95</v>
      </c>
      <c r="C7" s="6">
        <v>3.83</v>
      </c>
      <c r="D7" s="6">
        <f t="shared" si="0"/>
        <v>11.56</v>
      </c>
      <c r="E7" s="4">
        <f t="shared" si="1"/>
        <v>37.624000000000002</v>
      </c>
      <c r="F7" s="63"/>
      <c r="G7" s="64"/>
      <c r="H7" s="63"/>
      <c r="I7" s="64"/>
      <c r="J7" s="63"/>
      <c r="K7" s="64"/>
      <c r="L7" s="63"/>
      <c r="M7" s="64"/>
      <c r="N7" s="78">
        <v>0.8</v>
      </c>
      <c r="O7" s="79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74" t="s">
        <v>117</v>
      </c>
      <c r="B8" s="6">
        <v>2.35</v>
      </c>
      <c r="C8" s="6">
        <v>1.8</v>
      </c>
      <c r="D8" s="6">
        <f t="shared" si="0"/>
        <v>8.3000000000000007</v>
      </c>
      <c r="E8" s="4">
        <f t="shared" si="1"/>
        <v>25.53</v>
      </c>
      <c r="F8" s="78">
        <v>1</v>
      </c>
      <c r="G8" s="79">
        <v>0.8</v>
      </c>
      <c r="H8" s="63"/>
      <c r="I8" s="64"/>
      <c r="J8" s="63"/>
      <c r="K8" s="64"/>
      <c r="L8" s="63"/>
      <c r="M8" s="64"/>
      <c r="N8" s="78">
        <v>0.9</v>
      </c>
      <c r="O8" s="79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74" t="s">
        <v>117</v>
      </c>
      <c r="B9" s="6">
        <v>2.35</v>
      </c>
      <c r="C9" s="6">
        <v>1.8</v>
      </c>
      <c r="D9" s="6">
        <f t="shared" si="0"/>
        <v>8.3000000000000007</v>
      </c>
      <c r="E9" s="4">
        <f t="shared" si="1"/>
        <v>25.53</v>
      </c>
      <c r="F9" s="78">
        <v>1</v>
      </c>
      <c r="G9" s="79">
        <v>0.8</v>
      </c>
      <c r="H9" s="63"/>
      <c r="I9" s="64"/>
      <c r="J9" s="63"/>
      <c r="K9" s="64"/>
      <c r="L9" s="63"/>
      <c r="M9" s="64"/>
      <c r="N9" s="78">
        <v>0.9</v>
      </c>
      <c r="O9" s="79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74" t="s">
        <v>116</v>
      </c>
      <c r="B10" s="6">
        <v>1.9</v>
      </c>
      <c r="C10" s="6">
        <v>3.6</v>
      </c>
      <c r="D10" s="6">
        <f t="shared" si="0"/>
        <v>11</v>
      </c>
      <c r="E10" s="4">
        <f t="shared" si="1"/>
        <v>35.72</v>
      </c>
      <c r="F10" s="63"/>
      <c r="G10" s="64"/>
      <c r="H10" s="63"/>
      <c r="I10" s="64"/>
      <c r="J10" s="63"/>
      <c r="K10" s="64"/>
      <c r="L10" s="63"/>
      <c r="M10" s="64"/>
      <c r="N10" s="78">
        <v>0.8</v>
      </c>
      <c r="O10" s="79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74" t="s">
        <v>117</v>
      </c>
      <c r="B11" s="6">
        <v>2.35</v>
      </c>
      <c r="C11" s="6">
        <v>1.95</v>
      </c>
      <c r="D11" s="6">
        <f t="shared" si="0"/>
        <v>8.6</v>
      </c>
      <c r="E11" s="4">
        <f t="shared" si="1"/>
        <v>27.349999999999998</v>
      </c>
      <c r="F11" s="63"/>
      <c r="G11" s="64"/>
      <c r="H11" s="63"/>
      <c r="I11" s="64"/>
      <c r="J11" s="63"/>
      <c r="K11" s="64"/>
      <c r="L11" s="63"/>
      <c r="M11" s="64"/>
      <c r="N11" s="78">
        <v>0.9</v>
      </c>
      <c r="O11" s="79">
        <v>2.1</v>
      </c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63"/>
      <c r="AC11" s="64"/>
      <c r="AG11" s="1"/>
      <c r="AH11" s="1"/>
      <c r="AI11" s="1"/>
      <c r="AJ11" s="1"/>
      <c r="AK11" s="1"/>
      <c r="AL11" s="1"/>
      <c r="AM11" s="1"/>
      <c r="AN11" s="1"/>
    </row>
    <row r="12" spans="1:40">
      <c r="A12" s="74" t="s">
        <v>5</v>
      </c>
      <c r="B12" s="6">
        <v>1.6</v>
      </c>
      <c r="C12" s="6">
        <v>2.35</v>
      </c>
      <c r="D12" s="6">
        <f t="shared" si="0"/>
        <v>7.9</v>
      </c>
      <c r="E12" s="4">
        <f t="shared" si="1"/>
        <v>25.18</v>
      </c>
      <c r="F12" s="63"/>
      <c r="G12" s="64"/>
      <c r="H12" s="63"/>
      <c r="I12" s="64"/>
      <c r="J12" s="63"/>
      <c r="K12" s="64"/>
      <c r="L12" s="63"/>
      <c r="M12" s="64"/>
      <c r="N12" s="78">
        <v>0.8</v>
      </c>
      <c r="O12" s="79">
        <v>2.1</v>
      </c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74" t="s">
        <v>117</v>
      </c>
      <c r="B13" s="6">
        <v>1.8</v>
      </c>
      <c r="C13" s="6">
        <v>2.35</v>
      </c>
      <c r="D13" s="6">
        <f t="shared" si="0"/>
        <v>8.3000000000000007</v>
      </c>
      <c r="E13" s="4">
        <f t="shared" si="1"/>
        <v>26.330000000000002</v>
      </c>
      <c r="F13" s="63"/>
      <c r="G13" s="64"/>
      <c r="H13" s="63"/>
      <c r="I13" s="64"/>
      <c r="J13" s="63"/>
      <c r="K13" s="64"/>
      <c r="L13" s="63"/>
      <c r="M13" s="64"/>
      <c r="N13" s="78">
        <v>0.9</v>
      </c>
      <c r="O13" s="79">
        <v>2.1</v>
      </c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74" t="s">
        <v>116</v>
      </c>
      <c r="B14" s="6">
        <v>2.17</v>
      </c>
      <c r="C14" s="6">
        <v>4.5</v>
      </c>
      <c r="D14" s="6">
        <f t="shared" si="0"/>
        <v>13.34</v>
      </c>
      <c r="E14" s="4">
        <f t="shared" si="1"/>
        <v>39.875</v>
      </c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78">
        <v>1.05</v>
      </c>
      <c r="AA14" s="79">
        <v>2.1</v>
      </c>
      <c r="AB14" s="78">
        <v>1.56</v>
      </c>
      <c r="AC14" s="79">
        <v>2.1</v>
      </c>
      <c r="AG14" s="1"/>
      <c r="AH14" s="1"/>
      <c r="AI14" s="1"/>
      <c r="AJ14" s="1"/>
      <c r="AK14" s="1"/>
      <c r="AL14" s="1"/>
      <c r="AM14" s="1"/>
      <c r="AN14" s="1"/>
    </row>
    <row r="15" spans="1:40">
      <c r="A15" s="74" t="s">
        <v>117</v>
      </c>
      <c r="B15" s="6">
        <v>1.8</v>
      </c>
      <c r="C15" s="6">
        <v>1.8</v>
      </c>
      <c r="D15" s="6">
        <f t="shared" si="0"/>
        <v>7.2</v>
      </c>
      <c r="E15" s="4">
        <f t="shared" si="1"/>
        <v>22.59</v>
      </c>
      <c r="F15" s="63"/>
      <c r="G15" s="64"/>
      <c r="H15" s="63"/>
      <c r="I15" s="64"/>
      <c r="J15" s="63"/>
      <c r="K15" s="64"/>
      <c r="L15" s="63"/>
      <c r="M15" s="64"/>
      <c r="N15" s="78">
        <v>0.9</v>
      </c>
      <c r="O15" s="79">
        <v>2.1</v>
      </c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  <c r="AG15" s="1"/>
      <c r="AH15" s="1"/>
      <c r="AI15" s="1"/>
      <c r="AJ15" s="1"/>
      <c r="AK15" s="1"/>
      <c r="AL15" s="1"/>
      <c r="AM15" s="1"/>
      <c r="AN15" s="1"/>
    </row>
    <row r="16" spans="1:40">
      <c r="A16" s="74" t="s">
        <v>117</v>
      </c>
      <c r="B16" s="6">
        <v>1.8</v>
      </c>
      <c r="C16" s="6">
        <v>1.8</v>
      </c>
      <c r="D16" s="6">
        <f t="shared" si="0"/>
        <v>7.2</v>
      </c>
      <c r="E16" s="4">
        <f t="shared" si="1"/>
        <v>22.59</v>
      </c>
      <c r="F16" s="63"/>
      <c r="G16" s="64"/>
      <c r="H16" s="63"/>
      <c r="I16" s="64"/>
      <c r="J16" s="63"/>
      <c r="K16" s="64"/>
      <c r="L16" s="63"/>
      <c r="M16" s="64"/>
      <c r="N16" s="78">
        <v>0.9</v>
      </c>
      <c r="O16" s="79">
        <v>2.1</v>
      </c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G16" s="1"/>
      <c r="AH16" s="1"/>
      <c r="AI16" s="1"/>
      <c r="AJ16" s="1"/>
      <c r="AK16" s="1"/>
      <c r="AL16" s="1"/>
      <c r="AM16" s="1"/>
      <c r="AN16" s="1"/>
    </row>
    <row r="17" spans="1:40">
      <c r="A17" s="74" t="s">
        <v>117</v>
      </c>
      <c r="B17" s="6">
        <v>2.8</v>
      </c>
      <c r="C17" s="6">
        <v>1.8</v>
      </c>
      <c r="D17" s="6">
        <f t="shared" si="0"/>
        <v>9.1999999999999993</v>
      </c>
      <c r="E17" s="4">
        <f t="shared" si="1"/>
        <v>29.389999999999997</v>
      </c>
      <c r="F17" s="63"/>
      <c r="G17" s="64"/>
      <c r="H17" s="63"/>
      <c r="I17" s="64"/>
      <c r="J17" s="63"/>
      <c r="K17" s="64"/>
      <c r="L17" s="63"/>
      <c r="M17" s="64"/>
      <c r="N17" s="78">
        <v>0.9</v>
      </c>
      <c r="O17" s="79">
        <v>2.1</v>
      </c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  <c r="AG17" s="3"/>
      <c r="AH17" s="3"/>
      <c r="AI17" s="3"/>
      <c r="AJ17" s="3"/>
      <c r="AK17" s="3"/>
      <c r="AL17" s="3"/>
      <c r="AM17" s="3"/>
      <c r="AN17" s="3"/>
    </row>
    <row r="18" spans="1:40">
      <c r="A18" s="74" t="s">
        <v>117</v>
      </c>
      <c r="B18" s="6">
        <v>2.8</v>
      </c>
      <c r="C18" s="6">
        <v>1.8</v>
      </c>
      <c r="D18" s="6">
        <f t="shared" si="0"/>
        <v>9.1999999999999993</v>
      </c>
      <c r="E18" s="4">
        <f t="shared" si="1"/>
        <v>29.389999999999997</v>
      </c>
      <c r="F18" s="63"/>
      <c r="G18" s="64"/>
      <c r="H18" s="63"/>
      <c r="I18" s="64"/>
      <c r="J18" s="63"/>
      <c r="K18" s="64"/>
      <c r="L18" s="63"/>
      <c r="M18" s="64"/>
      <c r="N18" s="78">
        <v>0.9</v>
      </c>
      <c r="O18" s="79">
        <v>2.1</v>
      </c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</row>
    <row r="19" spans="1:40">
      <c r="A19" s="74" t="s">
        <v>113</v>
      </c>
      <c r="B19" s="6">
        <v>1.6</v>
      </c>
      <c r="C19" s="6">
        <v>3.75</v>
      </c>
      <c r="D19" s="6">
        <f t="shared" si="0"/>
        <v>10.7</v>
      </c>
      <c r="E19" s="4">
        <f t="shared" si="1"/>
        <v>34.699999999999996</v>
      </c>
      <c r="F19" s="63"/>
      <c r="G19" s="64"/>
      <c r="H19" s="63"/>
      <c r="I19" s="64"/>
      <c r="J19" s="63"/>
      <c r="K19" s="64"/>
      <c r="L19" s="63"/>
      <c r="M19" s="64"/>
      <c r="N19" s="78">
        <v>0.8</v>
      </c>
      <c r="O19" s="79">
        <v>2.1</v>
      </c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  <c r="AB19" s="63"/>
      <c r="AC19" s="64"/>
    </row>
    <row r="20" spans="1:40">
      <c r="A20" s="74" t="s">
        <v>117</v>
      </c>
      <c r="B20" s="6">
        <v>2</v>
      </c>
      <c r="C20" s="6">
        <v>3.35</v>
      </c>
      <c r="D20" s="6">
        <f t="shared" si="0"/>
        <v>10.7</v>
      </c>
      <c r="E20" s="4">
        <f t="shared" si="1"/>
        <v>32.489999999999995</v>
      </c>
      <c r="F20" s="78">
        <v>2</v>
      </c>
      <c r="G20" s="79">
        <v>1</v>
      </c>
      <c r="H20" s="63"/>
      <c r="I20" s="64"/>
      <c r="J20" s="63"/>
      <c r="K20" s="64"/>
      <c r="L20" s="63"/>
      <c r="M20" s="64"/>
      <c r="N20" s="78">
        <v>0.9</v>
      </c>
      <c r="O20" s="79">
        <v>2.1</v>
      </c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  <c r="AB20" s="63"/>
      <c r="AC20" s="64"/>
    </row>
    <row r="21" spans="1:40">
      <c r="A21" s="74" t="s">
        <v>117</v>
      </c>
      <c r="B21" s="6">
        <v>2</v>
      </c>
      <c r="C21" s="6">
        <v>3.35</v>
      </c>
      <c r="D21" s="6">
        <f t="shared" si="0"/>
        <v>10.7</v>
      </c>
      <c r="E21" s="4">
        <f t="shared" si="1"/>
        <v>32.489999999999995</v>
      </c>
      <c r="F21" s="78">
        <v>2</v>
      </c>
      <c r="G21" s="79">
        <v>1</v>
      </c>
      <c r="H21" s="63"/>
      <c r="I21" s="64"/>
      <c r="J21" s="63"/>
      <c r="K21" s="64"/>
      <c r="L21" s="63"/>
      <c r="M21" s="64"/>
      <c r="N21" s="78">
        <v>0.9</v>
      </c>
      <c r="O21" s="79">
        <v>2.1</v>
      </c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  <c r="AB21" s="63"/>
      <c r="AC21" s="64"/>
    </row>
    <row r="23" spans="1:40">
      <c r="A23" s="51" t="s">
        <v>83</v>
      </c>
      <c r="B23" s="155">
        <f>SUM(E5:E21)</f>
        <v>502.71899999999994</v>
      </c>
      <c r="C23" s="156"/>
    </row>
    <row r="24" spans="1:40" hidden="1">
      <c r="A24" s="5" t="s">
        <v>323</v>
      </c>
    </row>
  </sheetData>
  <mergeCells count="15">
    <mergeCell ref="A1:AC1"/>
    <mergeCell ref="X3:Y3"/>
    <mergeCell ref="Z3:AA3"/>
    <mergeCell ref="AB3:AC3"/>
    <mergeCell ref="B23:C2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12"/>
  <sheetViews>
    <sheetView zoomScale="85" zoomScaleNormal="85" workbookViewId="0">
      <selection activeCell="E19" sqref="E1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324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4" t="s">
        <v>24</v>
      </c>
      <c r="B5" s="9"/>
      <c r="C5" s="9"/>
      <c r="D5" s="6">
        <f>175.67-4.2-21.9</f>
        <v>149.57</v>
      </c>
      <c r="E5" s="4">
        <f>(D5*($A$3+0.35))-((F5*G5)+(H5*I5)+(J5*K5)+(L5*M5)+(N5*O5)+(P5*Q5)+(R5*S5)+(T5*U5)+(V5*W5)+(X5*Y5)+(Z5*AA5)+(AB5*AC5))</f>
        <v>411.88249999999994</v>
      </c>
      <c r="F5" s="78">
        <f>7*2</f>
        <v>14</v>
      </c>
      <c r="G5" s="79">
        <v>1</v>
      </c>
      <c r="H5" s="78">
        <f>3*1</f>
        <v>3</v>
      </c>
      <c r="I5" s="79">
        <v>0.8</v>
      </c>
      <c r="J5" s="78">
        <f>3*3</f>
        <v>9</v>
      </c>
      <c r="K5" s="79">
        <v>1</v>
      </c>
      <c r="L5" s="78">
        <f>3*2.75</f>
        <v>8.25</v>
      </c>
      <c r="M5" s="79">
        <v>1</v>
      </c>
      <c r="N5" s="78">
        <v>7.75</v>
      </c>
      <c r="O5" s="79">
        <v>9.5</v>
      </c>
      <c r="P5" s="78">
        <v>13.9</v>
      </c>
      <c r="Q5" s="79">
        <v>1</v>
      </c>
      <c r="R5" s="78">
        <v>7.1</v>
      </c>
      <c r="S5" s="79">
        <v>1</v>
      </c>
      <c r="T5" s="78">
        <v>4.1500000000000004</v>
      </c>
      <c r="U5" s="79">
        <v>1</v>
      </c>
      <c r="V5" s="78">
        <v>3.35</v>
      </c>
      <c r="W5" s="79">
        <v>1</v>
      </c>
      <c r="X5" s="78">
        <v>11.55</v>
      </c>
      <c r="Y5" s="79">
        <v>1</v>
      </c>
      <c r="Z5" s="63"/>
      <c r="AA5" s="64"/>
      <c r="AB5" s="78">
        <v>0.8</v>
      </c>
      <c r="AC5" s="79">
        <v>2.1</v>
      </c>
    </row>
    <row r="6" spans="1:40">
      <c r="A6" s="54" t="s">
        <v>25</v>
      </c>
      <c r="B6" s="9"/>
      <c r="C6" s="9"/>
      <c r="D6" s="9"/>
      <c r="E6" s="9"/>
      <c r="F6" s="63"/>
      <c r="G6" s="64"/>
      <c r="H6" s="63"/>
      <c r="I6" s="64"/>
      <c r="J6" s="63"/>
      <c r="K6" s="64"/>
      <c r="L6" s="63"/>
      <c r="M6" s="64"/>
      <c r="N6" s="75"/>
      <c r="O6" s="76"/>
      <c r="P6" s="75"/>
      <c r="Q6" s="76"/>
      <c r="R6" s="75"/>
      <c r="S6" s="76"/>
      <c r="T6" s="75"/>
      <c r="U6" s="76"/>
      <c r="V6" s="75"/>
      <c r="W6" s="76"/>
      <c r="X6" s="75"/>
      <c r="Y6" s="76"/>
      <c r="Z6" s="75"/>
      <c r="AA6" s="76"/>
      <c r="AB6" s="75"/>
      <c r="AC6" s="76"/>
    </row>
    <row r="11" spans="1:40">
      <c r="A11" s="54" t="s">
        <v>83</v>
      </c>
      <c r="B11" s="155">
        <f>SUM(E5:E6)</f>
        <v>411.88249999999994</v>
      </c>
      <c r="C11" s="156"/>
    </row>
    <row r="12" spans="1:40" hidden="1">
      <c r="A12" s="5" t="s">
        <v>325</v>
      </c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42"/>
  <sheetViews>
    <sheetView zoomScale="85" zoomScaleNormal="85" workbookViewId="0">
      <selection activeCell="A42" sqref="A42:XFD4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326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5" t="s">
        <v>121</v>
      </c>
      <c r="B5" s="9"/>
      <c r="C5" s="9"/>
      <c r="D5" s="6">
        <v>54.42</v>
      </c>
      <c r="E5" s="4">
        <f>(D5*$A$3)-((F5*G5)+(H5*I5)+(J5*K5)+(L5*M5)+(N5*O5)+(P5*Q5)+(R5*S5)+(T5*U5)+(V5*W5)+(X5*Y5)+(Z5*AA5)+(AB5*AC5))</f>
        <v>97.212999999999994</v>
      </c>
      <c r="F5" s="78">
        <v>3</v>
      </c>
      <c r="G5" s="79">
        <v>1</v>
      </c>
      <c r="H5" s="78">
        <v>3</v>
      </c>
      <c r="I5" s="79">
        <v>1</v>
      </c>
      <c r="J5" s="78">
        <v>7.75</v>
      </c>
      <c r="K5" s="79">
        <v>9.5</v>
      </c>
      <c r="L5" s="63"/>
      <c r="M5" s="64"/>
      <c r="N5" s="78">
        <v>0.9</v>
      </c>
      <c r="O5" s="79">
        <v>2.1</v>
      </c>
      <c r="P5" s="78">
        <v>0.9</v>
      </c>
      <c r="Q5" s="79">
        <v>2.1</v>
      </c>
      <c r="R5" s="78">
        <v>2.1</v>
      </c>
      <c r="S5" s="79">
        <v>2.1</v>
      </c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I5" s="1"/>
      <c r="AJ5" s="1"/>
      <c r="AK5" s="1"/>
      <c r="AL5" s="1"/>
      <c r="AM5" s="1"/>
      <c r="AN5" s="1"/>
    </row>
    <row r="6" spans="1:40">
      <c r="A6" s="55" t="s">
        <v>118</v>
      </c>
      <c r="B6" s="9"/>
      <c r="C6" s="9"/>
      <c r="D6" s="6">
        <v>27.06</v>
      </c>
      <c r="E6" s="4">
        <f t="shared" ref="E6:E21" si="0">(D6*$A$3)-((F6*G6)+(H6*I6)+(J6*K6)+(L6*M6)+(N6*O6)+(P6*Q6)+(R6*S6)+(T6*U6)+(V6*W6)+(X6*Y6)+(Z6*AA6)+(AB6*AC6))</f>
        <v>81.800999999999988</v>
      </c>
      <c r="F6" s="78">
        <v>3</v>
      </c>
      <c r="G6" s="79">
        <v>1</v>
      </c>
      <c r="H6" s="63"/>
      <c r="I6" s="64"/>
      <c r="J6" s="63"/>
      <c r="K6" s="64"/>
      <c r="L6" s="63"/>
      <c r="M6" s="64"/>
      <c r="N6" s="78">
        <v>2.1</v>
      </c>
      <c r="O6" s="79">
        <v>2.1</v>
      </c>
      <c r="P6" s="78">
        <v>1.33</v>
      </c>
      <c r="Q6" s="79">
        <v>2.1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5" t="s">
        <v>122</v>
      </c>
      <c r="B7" s="9"/>
      <c r="C7" s="9"/>
      <c r="D7" s="6">
        <v>20.239999999999998</v>
      </c>
      <c r="E7" s="4">
        <f t="shared" si="0"/>
        <v>40.285999999999987</v>
      </c>
      <c r="F7" s="63"/>
      <c r="G7" s="64"/>
      <c r="H7" s="63"/>
      <c r="I7" s="64"/>
      <c r="J7" s="63"/>
      <c r="K7" s="64"/>
      <c r="L7" s="63"/>
      <c r="M7" s="64"/>
      <c r="N7" s="78">
        <v>2.1</v>
      </c>
      <c r="O7" s="79">
        <v>2.1</v>
      </c>
      <c r="P7" s="78">
        <v>0.8</v>
      </c>
      <c r="Q7" s="79">
        <v>2.1</v>
      </c>
      <c r="R7" s="63"/>
      <c r="S7" s="64"/>
      <c r="T7" s="63"/>
      <c r="U7" s="64"/>
      <c r="V7" s="63"/>
      <c r="W7" s="64"/>
      <c r="X7" s="63"/>
      <c r="Y7" s="64"/>
      <c r="Z7" s="63"/>
      <c r="AA7" s="64"/>
      <c r="AB7" s="78">
        <v>6.6</v>
      </c>
      <c r="AC7" s="79">
        <v>3.4</v>
      </c>
      <c r="AG7" s="1"/>
      <c r="AH7" s="1"/>
      <c r="AI7" s="1"/>
      <c r="AJ7" s="1"/>
      <c r="AK7" s="1"/>
      <c r="AL7" s="1"/>
      <c r="AM7" s="1"/>
      <c r="AN7" s="1"/>
    </row>
    <row r="8" spans="1:40">
      <c r="A8" s="55" t="s">
        <v>123</v>
      </c>
      <c r="B8" s="9"/>
      <c r="C8" s="9"/>
      <c r="D8" s="6">
        <v>56.3</v>
      </c>
      <c r="E8" s="4">
        <f t="shared" si="0"/>
        <v>174.98</v>
      </c>
      <c r="F8" s="78">
        <v>2.75</v>
      </c>
      <c r="G8" s="79">
        <v>1</v>
      </c>
      <c r="H8" s="78">
        <v>2.75</v>
      </c>
      <c r="I8" s="79">
        <v>1</v>
      </c>
      <c r="J8" s="78">
        <v>2.75</v>
      </c>
      <c r="K8" s="79">
        <v>1</v>
      </c>
      <c r="L8" s="63"/>
      <c r="M8" s="64"/>
      <c r="N8" s="78">
        <v>2.1</v>
      </c>
      <c r="O8" s="79">
        <v>2.1</v>
      </c>
      <c r="P8" s="78">
        <v>0.9</v>
      </c>
      <c r="Q8" s="79">
        <v>2.1</v>
      </c>
      <c r="R8" s="78">
        <v>0.9</v>
      </c>
      <c r="S8" s="79">
        <v>2.1</v>
      </c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55" t="s">
        <v>112</v>
      </c>
      <c r="B9" s="6">
        <v>4.25</v>
      </c>
      <c r="C9" s="6">
        <v>2.0499999999999998</v>
      </c>
      <c r="D9" s="6">
        <f t="shared" ref="D9" si="1">2*(B9+C9)</f>
        <v>12.6</v>
      </c>
      <c r="E9" s="4">
        <f t="shared" si="0"/>
        <v>41.16</v>
      </c>
      <c r="F9" s="63"/>
      <c r="G9" s="64"/>
      <c r="H9" s="63"/>
      <c r="I9" s="64"/>
      <c r="J9" s="63"/>
      <c r="K9" s="64"/>
      <c r="L9" s="63"/>
      <c r="M9" s="64"/>
      <c r="N9" s="78">
        <v>0.8</v>
      </c>
      <c r="O9" s="79">
        <v>2.1</v>
      </c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5" t="s">
        <v>119</v>
      </c>
      <c r="B10" s="9"/>
      <c r="C10" s="9"/>
      <c r="D10" s="6">
        <v>25.76</v>
      </c>
      <c r="E10" s="4">
        <f t="shared" si="0"/>
        <v>81.494</v>
      </c>
      <c r="F10" s="63"/>
      <c r="G10" s="64"/>
      <c r="H10" s="63"/>
      <c r="I10" s="64"/>
      <c r="J10" s="63"/>
      <c r="K10" s="64"/>
      <c r="L10" s="63"/>
      <c r="M10" s="64"/>
      <c r="N10" s="78">
        <v>2.1</v>
      </c>
      <c r="O10" s="79">
        <v>2.1</v>
      </c>
      <c r="P10" s="78">
        <v>0.8</v>
      </c>
      <c r="Q10" s="79">
        <v>2.1</v>
      </c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55" t="s">
        <v>124</v>
      </c>
      <c r="B11" s="9"/>
      <c r="C11" s="9"/>
      <c r="D11" s="6">
        <v>23.2</v>
      </c>
      <c r="E11" s="4">
        <f t="shared" si="0"/>
        <v>70.143999999999991</v>
      </c>
      <c r="F11" s="63"/>
      <c r="G11" s="64"/>
      <c r="H11" s="63"/>
      <c r="I11" s="64"/>
      <c r="J11" s="63"/>
      <c r="K11" s="64"/>
      <c r="L11" s="63"/>
      <c r="M11" s="64"/>
      <c r="N11" s="78">
        <v>0.8</v>
      </c>
      <c r="O11" s="79">
        <v>2.1</v>
      </c>
      <c r="P11" s="78">
        <v>0.9</v>
      </c>
      <c r="Q11" s="79">
        <v>2.1</v>
      </c>
      <c r="R11" s="78">
        <v>0.9</v>
      </c>
      <c r="S11" s="79">
        <v>2.1</v>
      </c>
      <c r="T11" s="63"/>
      <c r="U11" s="64"/>
      <c r="V11" s="63"/>
      <c r="W11" s="64"/>
      <c r="X11" s="63"/>
      <c r="Y11" s="64"/>
      <c r="Z11" s="63"/>
      <c r="AA11" s="64"/>
      <c r="AB11" s="78">
        <v>1.56</v>
      </c>
      <c r="AC11" s="79">
        <v>2.1</v>
      </c>
      <c r="AG11" s="1"/>
      <c r="AH11" s="1"/>
      <c r="AI11" s="1"/>
      <c r="AJ11" s="1"/>
      <c r="AK11" s="1"/>
      <c r="AL11" s="1"/>
      <c r="AM11" s="1"/>
      <c r="AN11" s="1"/>
    </row>
    <row r="12" spans="1:40">
      <c r="A12" s="55" t="s">
        <v>125</v>
      </c>
      <c r="B12" s="6">
        <v>7</v>
      </c>
      <c r="C12" s="6">
        <v>3.45</v>
      </c>
      <c r="D12" s="6">
        <f t="shared" ref="D12:D13" si="2">2*(B12+C12)</f>
        <v>20.9</v>
      </c>
      <c r="E12" s="4">
        <f t="shared" si="0"/>
        <v>64.85499999999999</v>
      </c>
      <c r="F12" s="78">
        <v>2</v>
      </c>
      <c r="G12" s="79">
        <v>1</v>
      </c>
      <c r="H12" s="78">
        <v>2</v>
      </c>
      <c r="I12" s="79">
        <v>1</v>
      </c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78">
        <v>1.05</v>
      </c>
      <c r="AA12" s="79">
        <v>2.1</v>
      </c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55" t="s">
        <v>120</v>
      </c>
      <c r="B13" s="6">
        <v>8.8000000000000007</v>
      </c>
      <c r="C13" s="6">
        <v>12.7</v>
      </c>
      <c r="D13" s="6">
        <f t="shared" si="2"/>
        <v>43</v>
      </c>
      <c r="E13" s="4">
        <f t="shared" si="0"/>
        <v>132.95999999999998</v>
      </c>
      <c r="F13" s="78">
        <v>2</v>
      </c>
      <c r="G13" s="79">
        <v>1</v>
      </c>
      <c r="H13" s="78">
        <v>2</v>
      </c>
      <c r="I13" s="79">
        <v>1</v>
      </c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78">
        <v>2.2000000000000002</v>
      </c>
      <c r="AA13" s="79">
        <v>2.1</v>
      </c>
      <c r="AB13" s="78">
        <v>2.2000000000000002</v>
      </c>
      <c r="AC13" s="79">
        <v>2.1</v>
      </c>
      <c r="AG13" s="1"/>
      <c r="AH13" s="1"/>
      <c r="AI13" s="1"/>
      <c r="AJ13" s="1"/>
      <c r="AK13" s="1"/>
      <c r="AL13" s="1"/>
      <c r="AM13" s="1"/>
      <c r="AN13" s="1"/>
    </row>
    <row r="14" spans="1:40">
      <c r="A14" s="55" t="s">
        <v>4</v>
      </c>
      <c r="B14" s="9"/>
      <c r="C14" s="9"/>
      <c r="D14" s="6">
        <v>125.2</v>
      </c>
      <c r="E14" s="4">
        <f t="shared" si="0"/>
        <v>339.69</v>
      </c>
      <c r="F14" s="78">
        <v>2</v>
      </c>
      <c r="G14" s="79">
        <v>1</v>
      </c>
      <c r="H14" s="63"/>
      <c r="I14" s="64"/>
      <c r="J14" s="63"/>
      <c r="K14" s="64"/>
      <c r="L14" s="63"/>
      <c r="M14" s="64"/>
      <c r="N14" s="78">
        <f>6*2.1</f>
        <v>12.600000000000001</v>
      </c>
      <c r="O14" s="79">
        <v>2.1</v>
      </c>
      <c r="P14" s="78">
        <f>5*0.8</f>
        <v>4</v>
      </c>
      <c r="Q14" s="79">
        <v>2.1</v>
      </c>
      <c r="R14" s="78">
        <f>1.1*3</f>
        <v>3.3000000000000003</v>
      </c>
      <c r="S14" s="79">
        <v>2.1</v>
      </c>
      <c r="T14" s="78">
        <v>1.1000000000000001</v>
      </c>
      <c r="U14" s="79">
        <v>2.1</v>
      </c>
      <c r="V14" s="63"/>
      <c r="W14" s="64"/>
      <c r="X14" s="78">
        <v>1.75</v>
      </c>
      <c r="Y14" s="79">
        <v>1</v>
      </c>
      <c r="Z14" s="78">
        <f>2.2+2.2</f>
        <v>4.4000000000000004</v>
      </c>
      <c r="AA14" s="79">
        <v>2.1</v>
      </c>
      <c r="AB14" s="78">
        <f>6.6+1.9</f>
        <v>8.5</v>
      </c>
      <c r="AC14" s="79">
        <v>3.4</v>
      </c>
      <c r="AG14" s="1"/>
      <c r="AH14" s="1"/>
      <c r="AI14" s="1"/>
      <c r="AJ14" s="1"/>
      <c r="AK14" s="1"/>
      <c r="AL14" s="1"/>
      <c r="AM14" s="1"/>
      <c r="AN14" s="1"/>
    </row>
    <row r="15" spans="1:40">
      <c r="A15" s="55" t="s">
        <v>126</v>
      </c>
      <c r="B15" s="9"/>
      <c r="C15" s="9"/>
      <c r="D15" s="6">
        <v>17.71</v>
      </c>
      <c r="E15" s="4">
        <f t="shared" si="0"/>
        <v>49.393999999999998</v>
      </c>
      <c r="F15" s="14">
        <v>2</v>
      </c>
      <c r="G15" s="15">
        <v>1</v>
      </c>
      <c r="H15" s="16"/>
      <c r="I15" s="17"/>
      <c r="J15" s="16"/>
      <c r="K15" s="17"/>
      <c r="L15" s="16"/>
      <c r="M15" s="17"/>
      <c r="N15" s="14">
        <v>0.9</v>
      </c>
      <c r="O15" s="15">
        <v>2.1</v>
      </c>
      <c r="P15" s="14">
        <v>1.1000000000000001</v>
      </c>
      <c r="Q15" s="15">
        <v>2.1</v>
      </c>
      <c r="R15" s="14">
        <v>1.1000000000000001</v>
      </c>
      <c r="S15" s="15">
        <v>2.1</v>
      </c>
      <c r="T15" s="14">
        <v>1.1000000000000001</v>
      </c>
      <c r="U15" s="15">
        <v>2.1</v>
      </c>
      <c r="V15" s="16"/>
      <c r="W15" s="17"/>
      <c r="X15" s="16"/>
      <c r="Y15" s="17"/>
      <c r="Z15" s="16"/>
      <c r="AA15" s="17"/>
      <c r="AB15" s="16"/>
      <c r="AC15" s="17"/>
      <c r="AG15" s="1"/>
      <c r="AH15" s="1"/>
      <c r="AI15" s="1"/>
      <c r="AJ15" s="1"/>
      <c r="AK15" s="1"/>
      <c r="AL15" s="1"/>
      <c r="AM15" s="1"/>
      <c r="AN15" s="1"/>
    </row>
    <row r="16" spans="1:40">
      <c r="A16" s="55" t="s">
        <v>127</v>
      </c>
      <c r="B16" s="9"/>
      <c r="C16" s="9"/>
      <c r="D16" s="6">
        <v>17.71</v>
      </c>
      <c r="E16" s="4">
        <f t="shared" si="0"/>
        <v>51.393999999999998</v>
      </c>
      <c r="F16" s="63"/>
      <c r="G16" s="64"/>
      <c r="H16" s="63"/>
      <c r="I16" s="64"/>
      <c r="J16" s="63"/>
      <c r="K16" s="64"/>
      <c r="L16" s="63"/>
      <c r="M16" s="64"/>
      <c r="N16" s="78">
        <v>0.9</v>
      </c>
      <c r="O16" s="79">
        <v>2.1</v>
      </c>
      <c r="P16" s="78">
        <v>1.1000000000000001</v>
      </c>
      <c r="Q16" s="79">
        <v>2.1</v>
      </c>
      <c r="R16" s="78">
        <v>1.1000000000000001</v>
      </c>
      <c r="S16" s="79">
        <v>2.1</v>
      </c>
      <c r="T16" s="78">
        <v>1.1000000000000001</v>
      </c>
      <c r="U16" s="79">
        <v>2.1</v>
      </c>
      <c r="V16" s="63"/>
      <c r="W16" s="64"/>
      <c r="X16" s="63"/>
      <c r="Y16" s="64"/>
      <c r="Z16" s="63"/>
      <c r="AA16" s="64"/>
      <c r="AB16" s="63"/>
      <c r="AC16" s="64"/>
      <c r="AG16" s="1"/>
      <c r="AH16" s="1"/>
      <c r="AI16" s="1"/>
      <c r="AJ16" s="1"/>
      <c r="AK16" s="1"/>
      <c r="AL16" s="1"/>
      <c r="AM16" s="1"/>
      <c r="AN16" s="1"/>
    </row>
    <row r="17" spans="1:40">
      <c r="A17" s="55" t="s">
        <v>128</v>
      </c>
      <c r="B17" s="9"/>
      <c r="C17" s="9"/>
      <c r="D17" s="6">
        <v>58.94</v>
      </c>
      <c r="E17" s="4">
        <f t="shared" si="0"/>
        <v>173.55599999999998</v>
      </c>
      <c r="F17" s="78">
        <v>2</v>
      </c>
      <c r="G17" s="79">
        <v>1</v>
      </c>
      <c r="H17" s="78">
        <v>11.55</v>
      </c>
      <c r="I17" s="79">
        <v>1</v>
      </c>
      <c r="J17" s="78">
        <v>3.35</v>
      </c>
      <c r="K17" s="79">
        <v>1</v>
      </c>
      <c r="L17" s="63"/>
      <c r="M17" s="64"/>
      <c r="N17" s="78">
        <v>0.9</v>
      </c>
      <c r="O17" s="79">
        <v>2.1</v>
      </c>
      <c r="P17" s="78">
        <v>0.9</v>
      </c>
      <c r="Q17" s="79">
        <v>2.1</v>
      </c>
      <c r="R17" s="78">
        <v>2.1</v>
      </c>
      <c r="S17" s="79">
        <v>2.1</v>
      </c>
      <c r="T17" s="63"/>
      <c r="U17" s="64"/>
      <c r="V17" s="63"/>
      <c r="W17" s="64"/>
      <c r="X17" s="63"/>
      <c r="Y17" s="64"/>
      <c r="Z17" s="63"/>
      <c r="AA17" s="64"/>
      <c r="AB17" s="78">
        <v>1.75</v>
      </c>
      <c r="AC17" s="79">
        <v>1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55" t="s">
        <v>129</v>
      </c>
      <c r="B18" s="6">
        <v>4.55</v>
      </c>
      <c r="C18" s="6">
        <v>2.75</v>
      </c>
      <c r="D18" s="6">
        <f t="shared" ref="D18:D20" si="3">2*(B18+C18)</f>
        <v>14.6</v>
      </c>
      <c r="E18" s="4">
        <f t="shared" si="0"/>
        <v>47.33</v>
      </c>
      <c r="F18" s="63"/>
      <c r="G18" s="64"/>
      <c r="H18" s="63"/>
      <c r="I18" s="64"/>
      <c r="J18" s="63"/>
      <c r="K18" s="64"/>
      <c r="L18" s="63"/>
      <c r="M18" s="64"/>
      <c r="N18" s="78">
        <v>1.1000000000000001</v>
      </c>
      <c r="O18" s="79">
        <v>2.1</v>
      </c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  <c r="AG18" s="1"/>
      <c r="AH18" s="1"/>
      <c r="AI18" s="1"/>
      <c r="AJ18" s="1"/>
      <c r="AK18" s="1"/>
      <c r="AL18" s="1"/>
      <c r="AM18" s="1"/>
      <c r="AN18" s="1"/>
    </row>
    <row r="19" spans="1:40">
      <c r="A19" s="55" t="s">
        <v>115</v>
      </c>
      <c r="B19" s="6">
        <v>5.0999999999999996</v>
      </c>
      <c r="C19" s="6">
        <v>4.0199999999999996</v>
      </c>
      <c r="D19" s="6">
        <f t="shared" si="3"/>
        <v>18.239999999999998</v>
      </c>
      <c r="E19" s="4">
        <f t="shared" si="0"/>
        <v>44.609999999999992</v>
      </c>
      <c r="F19" s="78">
        <v>5.0999999999999996</v>
      </c>
      <c r="G19" s="79">
        <v>1</v>
      </c>
      <c r="H19" s="63"/>
      <c r="I19" s="64"/>
      <c r="J19" s="63"/>
      <c r="K19" s="64"/>
      <c r="L19" s="63"/>
      <c r="M19" s="64"/>
      <c r="N19" s="78">
        <v>1.48</v>
      </c>
      <c r="O19" s="79">
        <v>2.1</v>
      </c>
      <c r="P19" s="78">
        <v>1.48</v>
      </c>
      <c r="Q19" s="79">
        <v>2.1</v>
      </c>
      <c r="R19" s="78">
        <v>0.8</v>
      </c>
      <c r="S19" s="79">
        <v>2.1</v>
      </c>
      <c r="T19" s="78">
        <v>2.1</v>
      </c>
      <c r="U19" s="79">
        <v>2.1</v>
      </c>
      <c r="V19" s="63"/>
      <c r="W19" s="64"/>
      <c r="X19" s="63"/>
      <c r="Y19" s="64"/>
      <c r="Z19" s="63"/>
      <c r="AA19" s="64"/>
      <c r="AB19" s="63"/>
      <c r="AC19" s="64"/>
    </row>
    <row r="20" spans="1:40">
      <c r="A20" s="55" t="s">
        <v>111</v>
      </c>
      <c r="B20" s="6">
        <v>1.85</v>
      </c>
      <c r="C20" s="6">
        <v>4.5</v>
      </c>
      <c r="D20" s="6">
        <f t="shared" si="3"/>
        <v>12.7</v>
      </c>
      <c r="E20" s="4">
        <f t="shared" si="0"/>
        <v>39.65</v>
      </c>
      <c r="F20" s="78">
        <v>1.85</v>
      </c>
      <c r="G20" s="79">
        <v>1</v>
      </c>
      <c r="H20" s="63"/>
      <c r="I20" s="64"/>
      <c r="J20" s="63"/>
      <c r="K20" s="64"/>
      <c r="L20" s="63"/>
      <c r="M20" s="64"/>
      <c r="N20" s="78">
        <v>0.8</v>
      </c>
      <c r="O20" s="79">
        <v>2.1</v>
      </c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  <c r="AB20" s="63"/>
      <c r="AC20" s="64"/>
    </row>
    <row r="21" spans="1:40">
      <c r="A21" s="55" t="s">
        <v>130</v>
      </c>
      <c r="B21" s="9"/>
      <c r="C21" s="9"/>
      <c r="D21" s="6">
        <v>60.44</v>
      </c>
      <c r="E21" s="4">
        <f t="shared" si="0"/>
        <v>183.40599999999998</v>
      </c>
      <c r="F21" s="78">
        <v>13.9</v>
      </c>
      <c r="G21" s="79">
        <v>1</v>
      </c>
      <c r="H21" s="63"/>
      <c r="I21" s="64"/>
      <c r="J21" s="63"/>
      <c r="K21" s="64"/>
      <c r="L21" s="63"/>
      <c r="M21" s="64"/>
      <c r="N21" s="78">
        <v>2.1</v>
      </c>
      <c r="O21" s="79">
        <v>2.1</v>
      </c>
      <c r="P21" s="78">
        <v>0.9</v>
      </c>
      <c r="Q21" s="79">
        <v>2.1</v>
      </c>
      <c r="R21" s="78">
        <v>0.9</v>
      </c>
      <c r="S21" s="79">
        <v>2.1</v>
      </c>
      <c r="T21" s="63"/>
      <c r="U21" s="64"/>
      <c r="V21" s="63"/>
      <c r="W21" s="64"/>
      <c r="X21" s="63"/>
      <c r="Y21" s="64"/>
      <c r="Z21" s="63"/>
      <c r="AA21" s="64"/>
      <c r="AB21" s="63"/>
      <c r="AC21" s="64"/>
    </row>
    <row r="23" spans="1:40">
      <c r="E23" s="42"/>
    </row>
    <row r="24" spans="1:40">
      <c r="E24" s="42"/>
    </row>
    <row r="25" spans="1:40" hidden="1"/>
    <row r="26" spans="1:40" hidden="1"/>
    <row r="27" spans="1:40" hidden="1"/>
    <row r="28" spans="1:40" hidden="1"/>
    <row r="29" spans="1:40" hidden="1"/>
    <row r="30" spans="1:40" hidden="1"/>
    <row r="31" spans="1:40" hidden="1"/>
    <row r="32" spans="1:40" hidden="1"/>
    <row r="33" spans="1:5" hidden="1"/>
    <row r="34" spans="1:5" hidden="1"/>
    <row r="35" spans="1:5" hidden="1"/>
    <row r="36" spans="1:5" hidden="1"/>
    <row r="37" spans="1:5" hidden="1"/>
    <row r="38" spans="1:5" hidden="1"/>
    <row r="39" spans="1:5" hidden="1"/>
    <row r="40" spans="1:5" hidden="1"/>
    <row r="41" spans="1:5">
      <c r="A41" s="55" t="s">
        <v>83</v>
      </c>
      <c r="B41" s="163">
        <f>SUM(E5:E21)</f>
        <v>1713.923</v>
      </c>
      <c r="C41" s="164"/>
      <c r="E41" s="42"/>
    </row>
    <row r="42" spans="1:5" hidden="1">
      <c r="A42" s="5" t="s">
        <v>327</v>
      </c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37"/>
  <sheetViews>
    <sheetView zoomScale="85" zoomScaleNormal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328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7" t="s">
        <v>126</v>
      </c>
      <c r="B5" s="9"/>
      <c r="C5" s="9"/>
      <c r="D5" s="6">
        <v>17.71</v>
      </c>
      <c r="E5" s="4">
        <f t="shared" ref="E5:E6" si="0">(D5*$A$3)-((F5*G5)+(H5*I5)+(J5*K5)+(L5*M5)+(N5*O5)+(P5*Q5)+(R5*S5)+(T5*U5)+(V5*W5)+(X5*Y5)+(Z5*AA5)+(AB5*AC5))</f>
        <v>49.393999999999998</v>
      </c>
      <c r="F5" s="14">
        <v>2</v>
      </c>
      <c r="G5" s="15">
        <v>1</v>
      </c>
      <c r="H5" s="16"/>
      <c r="I5" s="17"/>
      <c r="J5" s="16"/>
      <c r="K5" s="17"/>
      <c r="L5" s="16"/>
      <c r="M5" s="17"/>
      <c r="N5" s="14">
        <v>0.9</v>
      </c>
      <c r="O5" s="15">
        <v>2.1</v>
      </c>
      <c r="P5" s="14">
        <v>1.1000000000000001</v>
      </c>
      <c r="Q5" s="15">
        <v>2.1</v>
      </c>
      <c r="R5" s="14">
        <v>1.1000000000000001</v>
      </c>
      <c r="S5" s="15">
        <v>2.1</v>
      </c>
      <c r="T5" s="14">
        <v>1.1000000000000001</v>
      </c>
      <c r="U5" s="15">
        <v>2.1</v>
      </c>
      <c r="V5" s="16"/>
      <c r="W5" s="17"/>
      <c r="X5" s="16"/>
      <c r="Y5" s="17"/>
      <c r="Z5" s="16"/>
      <c r="AA5" s="17"/>
      <c r="AB5" s="16"/>
      <c r="AC5" s="17"/>
      <c r="AG5" s="1"/>
      <c r="AH5" s="1"/>
      <c r="AI5" s="1"/>
      <c r="AJ5" s="1"/>
      <c r="AK5" s="1"/>
      <c r="AL5" s="1"/>
      <c r="AM5" s="1"/>
      <c r="AN5" s="1"/>
    </row>
    <row r="6" spans="1:40">
      <c r="A6" s="57" t="s">
        <v>127</v>
      </c>
      <c r="B6" s="9"/>
      <c r="C6" s="9"/>
      <c r="D6" s="6">
        <v>17.71</v>
      </c>
      <c r="E6" s="4">
        <f t="shared" si="0"/>
        <v>51.393999999999998</v>
      </c>
      <c r="F6" s="63"/>
      <c r="G6" s="64"/>
      <c r="H6" s="63"/>
      <c r="I6" s="64"/>
      <c r="J6" s="63"/>
      <c r="K6" s="64"/>
      <c r="L6" s="63"/>
      <c r="M6" s="64"/>
      <c r="N6" s="78">
        <v>0.9</v>
      </c>
      <c r="O6" s="79">
        <v>2.1</v>
      </c>
      <c r="P6" s="78">
        <v>1.1000000000000001</v>
      </c>
      <c r="Q6" s="79">
        <v>2.1</v>
      </c>
      <c r="R6" s="78">
        <v>1.1000000000000001</v>
      </c>
      <c r="S6" s="79">
        <v>2.1</v>
      </c>
      <c r="T6" s="78">
        <v>1.1000000000000001</v>
      </c>
      <c r="U6" s="79">
        <v>2.1</v>
      </c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8" spans="1:40">
      <c r="A8" s="56" t="s">
        <v>158</v>
      </c>
      <c r="B8" s="155">
        <f>SUM(E5:E6)</f>
        <v>100.788</v>
      </c>
      <c r="C8" s="156"/>
    </row>
    <row r="9" spans="1:40" ht="5.0999999999999996" customHeight="1"/>
    <row r="10" spans="1:40">
      <c r="A10" s="48" t="s">
        <v>159</v>
      </c>
    </row>
    <row r="14" spans="1:40">
      <c r="A14" s="12" t="s">
        <v>160</v>
      </c>
      <c r="B14" s="3"/>
      <c r="C14" s="3"/>
      <c r="D14" s="3"/>
      <c r="E14" s="3"/>
      <c r="F14" s="154" t="s">
        <v>6</v>
      </c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</row>
    <row r="15" spans="1:40">
      <c r="A15" s="46">
        <v>1.4</v>
      </c>
      <c r="B15" s="3"/>
      <c r="C15" s="3"/>
      <c r="D15" s="3"/>
      <c r="E15" s="3"/>
      <c r="F15" s="157" t="s">
        <v>9</v>
      </c>
      <c r="G15" s="158"/>
      <c r="H15" s="157" t="s">
        <v>12</v>
      </c>
      <c r="I15" s="158"/>
      <c r="J15" s="157" t="s">
        <v>13</v>
      </c>
      <c r="K15" s="158"/>
      <c r="L15" s="157" t="s">
        <v>14</v>
      </c>
      <c r="M15" s="158"/>
      <c r="N15" s="157" t="s">
        <v>15</v>
      </c>
      <c r="O15" s="158"/>
      <c r="P15" s="157" t="s">
        <v>16</v>
      </c>
      <c r="Q15" s="158"/>
      <c r="R15" s="157" t="s">
        <v>17</v>
      </c>
      <c r="S15" s="158"/>
      <c r="T15" s="154" t="s">
        <v>18</v>
      </c>
      <c r="U15" s="154"/>
      <c r="V15" s="154" t="s">
        <v>19</v>
      </c>
      <c r="W15" s="154"/>
      <c r="X15" s="154" t="s">
        <v>20</v>
      </c>
      <c r="Y15" s="154"/>
      <c r="Z15" s="154" t="s">
        <v>22</v>
      </c>
      <c r="AA15" s="154"/>
      <c r="AB15" s="154" t="s">
        <v>23</v>
      </c>
      <c r="AC15" s="154"/>
    </row>
    <row r="16" spans="1:40" ht="43.5">
      <c r="A16" s="1"/>
      <c r="B16" s="10" t="s">
        <v>7</v>
      </c>
      <c r="C16" s="10" t="s">
        <v>8</v>
      </c>
      <c r="D16" s="11" t="s">
        <v>2</v>
      </c>
      <c r="E16" s="11" t="s">
        <v>3</v>
      </c>
      <c r="F16" s="2" t="s">
        <v>10</v>
      </c>
      <c r="G16" s="2" t="s">
        <v>11</v>
      </c>
      <c r="H16" s="2" t="s">
        <v>10</v>
      </c>
      <c r="I16" s="2" t="s">
        <v>11</v>
      </c>
      <c r="J16" s="2" t="s">
        <v>10</v>
      </c>
      <c r="K16" s="2" t="s">
        <v>11</v>
      </c>
      <c r="L16" s="2" t="s">
        <v>10</v>
      </c>
      <c r="M16" s="2" t="s">
        <v>11</v>
      </c>
      <c r="N16" s="2" t="s">
        <v>10</v>
      </c>
      <c r="O16" s="2" t="s">
        <v>11</v>
      </c>
      <c r="P16" s="2" t="s">
        <v>10</v>
      </c>
      <c r="Q16" s="2" t="s">
        <v>11</v>
      </c>
      <c r="R16" s="2" t="s">
        <v>10</v>
      </c>
      <c r="S16" s="2" t="s">
        <v>11</v>
      </c>
      <c r="T16" s="2" t="s">
        <v>10</v>
      </c>
      <c r="U16" s="2" t="s">
        <v>11</v>
      </c>
      <c r="V16" s="2" t="s">
        <v>10</v>
      </c>
      <c r="W16" s="2" t="s">
        <v>11</v>
      </c>
      <c r="X16" s="2" t="s">
        <v>10</v>
      </c>
      <c r="Y16" s="2" t="s">
        <v>11</v>
      </c>
      <c r="Z16" s="2" t="s">
        <v>10</v>
      </c>
      <c r="AA16" s="2" t="s">
        <v>11</v>
      </c>
      <c r="AB16" s="2" t="s">
        <v>10</v>
      </c>
      <c r="AC16" s="2" t="s">
        <v>11</v>
      </c>
    </row>
    <row r="17" spans="1:29">
      <c r="A17" s="57" t="s">
        <v>121</v>
      </c>
      <c r="B17" s="9"/>
      <c r="C17" s="9"/>
      <c r="D17" s="6">
        <v>54.42</v>
      </c>
      <c r="E17" s="4">
        <f t="shared" ref="E17:E23" si="1">(D17*$A$15)-((F17*G17)+(H17*I17)+(J17*K17)+(L17*M17)+(N17*O17)+(P17*Q17)+(R17*S17)+(T17*U17)+(V17*W17)+(X17*Y17)+(Z17*AA17)+(AB17*AC17))</f>
        <v>70.728000000000009</v>
      </c>
      <c r="F17" s="16"/>
      <c r="G17" s="17"/>
      <c r="H17" s="16"/>
      <c r="I17" s="17"/>
      <c r="J17" s="16"/>
      <c r="K17" s="17"/>
      <c r="L17" s="16"/>
      <c r="M17" s="17"/>
      <c r="N17" s="14">
        <v>2.1</v>
      </c>
      <c r="O17" s="15">
        <v>1.4</v>
      </c>
      <c r="P17" s="14">
        <v>0.9</v>
      </c>
      <c r="Q17" s="15">
        <v>1.4</v>
      </c>
      <c r="R17" s="14">
        <v>0.9</v>
      </c>
      <c r="S17" s="15">
        <v>1.4</v>
      </c>
      <c r="T17" s="16"/>
      <c r="U17" s="17"/>
      <c r="V17" s="16"/>
      <c r="W17" s="17"/>
      <c r="X17" s="16"/>
      <c r="Y17" s="17"/>
      <c r="Z17" s="16"/>
      <c r="AA17" s="17"/>
      <c r="AB17" s="16"/>
      <c r="AC17" s="17"/>
    </row>
    <row r="18" spans="1:29">
      <c r="A18" s="57" t="s">
        <v>122</v>
      </c>
      <c r="B18" s="9"/>
      <c r="C18" s="9"/>
      <c r="D18" s="6">
        <v>20.239999999999998</v>
      </c>
      <c r="E18" s="4">
        <f t="shared" si="1"/>
        <v>15.035999999999998</v>
      </c>
      <c r="F18" s="16"/>
      <c r="G18" s="17"/>
      <c r="H18" s="16"/>
      <c r="I18" s="17"/>
      <c r="J18" s="16"/>
      <c r="K18" s="17"/>
      <c r="L18" s="16"/>
      <c r="M18" s="17"/>
      <c r="N18" s="14">
        <v>2.1</v>
      </c>
      <c r="O18" s="15">
        <v>1.4</v>
      </c>
      <c r="P18" s="14">
        <v>0.8</v>
      </c>
      <c r="Q18" s="15">
        <v>1.4</v>
      </c>
      <c r="R18" s="16"/>
      <c r="S18" s="17"/>
      <c r="T18" s="16"/>
      <c r="U18" s="17"/>
      <c r="V18" s="16"/>
      <c r="W18" s="17"/>
      <c r="X18" s="16"/>
      <c r="Y18" s="17"/>
      <c r="Z18" s="16"/>
      <c r="AA18" s="17"/>
      <c r="AB18" s="14">
        <v>6.6</v>
      </c>
      <c r="AC18" s="15">
        <f>A15</f>
        <v>1.4</v>
      </c>
    </row>
    <row r="19" spans="1:29">
      <c r="A19" s="57" t="s">
        <v>123</v>
      </c>
      <c r="B19" s="9"/>
      <c r="C19" s="9"/>
      <c r="D19" s="6">
        <v>56.3</v>
      </c>
      <c r="E19" s="4">
        <f t="shared" si="1"/>
        <v>73.36</v>
      </c>
      <c r="F19" s="16"/>
      <c r="G19" s="17"/>
      <c r="H19" s="16"/>
      <c r="I19" s="17"/>
      <c r="J19" s="16"/>
      <c r="K19" s="17"/>
      <c r="L19" s="16"/>
      <c r="M19" s="17"/>
      <c r="N19" s="14">
        <v>2.1</v>
      </c>
      <c r="O19" s="15">
        <v>1.4</v>
      </c>
      <c r="P19" s="14">
        <v>0.9</v>
      </c>
      <c r="Q19" s="15">
        <v>1.4</v>
      </c>
      <c r="R19" s="14">
        <v>0.9</v>
      </c>
      <c r="S19" s="15">
        <v>1.4</v>
      </c>
      <c r="T19" s="16"/>
      <c r="U19" s="17"/>
      <c r="V19" s="16"/>
      <c r="W19" s="17"/>
      <c r="X19" s="16"/>
      <c r="Y19" s="17"/>
      <c r="Z19" s="16"/>
      <c r="AA19" s="17"/>
      <c r="AB19" s="16"/>
      <c r="AC19" s="17"/>
    </row>
    <row r="20" spans="1:29">
      <c r="A20" s="57" t="s">
        <v>120</v>
      </c>
      <c r="B20" s="6">
        <v>8.8000000000000007</v>
      </c>
      <c r="C20" s="6">
        <v>12.7</v>
      </c>
      <c r="D20" s="6">
        <f t="shared" ref="D20" si="2">2*(B20+C20)</f>
        <v>43</v>
      </c>
      <c r="E20" s="4">
        <f t="shared" si="1"/>
        <v>54.039999999999992</v>
      </c>
      <c r="F20" s="16"/>
      <c r="G20" s="17"/>
      <c r="H20" s="16"/>
      <c r="I20" s="17"/>
      <c r="J20" s="16"/>
      <c r="K20" s="17"/>
      <c r="L20" s="16"/>
      <c r="M20" s="17"/>
      <c r="N20" s="16"/>
      <c r="O20" s="17"/>
      <c r="P20" s="16"/>
      <c r="Q20" s="17"/>
      <c r="R20" s="16"/>
      <c r="S20" s="17"/>
      <c r="T20" s="16"/>
      <c r="U20" s="17"/>
      <c r="V20" s="16"/>
      <c r="W20" s="17"/>
      <c r="X20" s="16"/>
      <c r="Y20" s="17"/>
      <c r="Z20" s="14">
        <v>2.2000000000000002</v>
      </c>
      <c r="AA20" s="15">
        <v>1.4</v>
      </c>
      <c r="AB20" s="14">
        <v>2.2000000000000002</v>
      </c>
      <c r="AC20" s="15">
        <v>1.4</v>
      </c>
    </row>
    <row r="21" spans="1:29">
      <c r="A21" s="57" t="s">
        <v>4</v>
      </c>
      <c r="B21" s="9"/>
      <c r="C21" s="9"/>
      <c r="D21" s="6">
        <v>125.2</v>
      </c>
      <c r="E21" s="4">
        <f t="shared" si="1"/>
        <v>127.20750000000001</v>
      </c>
      <c r="F21" s="16"/>
      <c r="G21" s="17"/>
      <c r="H21" s="16"/>
      <c r="I21" s="17"/>
      <c r="J21" s="16"/>
      <c r="K21" s="17"/>
      <c r="L21" s="16"/>
      <c r="M21" s="17"/>
      <c r="N21" s="14">
        <f>6*2.1</f>
        <v>12.600000000000001</v>
      </c>
      <c r="O21" s="15">
        <v>1.4</v>
      </c>
      <c r="P21" s="14">
        <f>5*0.8</f>
        <v>4</v>
      </c>
      <c r="Q21" s="15">
        <v>1.4</v>
      </c>
      <c r="R21" s="14">
        <f>1.1*3</f>
        <v>3.3000000000000003</v>
      </c>
      <c r="S21" s="15">
        <v>1.4</v>
      </c>
      <c r="T21" s="14">
        <v>1.1000000000000001</v>
      </c>
      <c r="U21" s="15">
        <v>1.4</v>
      </c>
      <c r="V21" s="16"/>
      <c r="W21" s="17"/>
      <c r="X21" s="14">
        <v>1.75</v>
      </c>
      <c r="Y21" s="15">
        <f>1.4-1.05</f>
        <v>0.34999999999999987</v>
      </c>
      <c r="Z21" s="14">
        <f>2.2+2.2</f>
        <v>4.4000000000000004</v>
      </c>
      <c r="AA21" s="15">
        <v>1.4</v>
      </c>
      <c r="AB21" s="14">
        <f>6.6+1.9</f>
        <v>8.5</v>
      </c>
      <c r="AC21" s="15">
        <v>1.4</v>
      </c>
    </row>
    <row r="22" spans="1:29">
      <c r="A22" s="57" t="s">
        <v>128</v>
      </c>
      <c r="B22" s="9"/>
      <c r="C22" s="9"/>
      <c r="D22" s="6">
        <v>58.94</v>
      </c>
      <c r="E22" s="4">
        <f t="shared" si="1"/>
        <v>76.443499999999986</v>
      </c>
      <c r="F22" s="16"/>
      <c r="G22" s="17"/>
      <c r="H22" s="16"/>
      <c r="I22" s="17"/>
      <c r="J22" s="16"/>
      <c r="K22" s="17"/>
      <c r="L22" s="16"/>
      <c r="M22" s="17"/>
      <c r="N22" s="14">
        <v>0.9</v>
      </c>
      <c r="O22" s="15">
        <v>1.4</v>
      </c>
      <c r="P22" s="14">
        <v>0.9</v>
      </c>
      <c r="Q22" s="15">
        <v>1.4</v>
      </c>
      <c r="R22" s="14">
        <v>2.1</v>
      </c>
      <c r="S22" s="15">
        <v>1.4</v>
      </c>
      <c r="T22" s="16"/>
      <c r="U22" s="17"/>
      <c r="V22" s="16"/>
      <c r="W22" s="17"/>
      <c r="X22" s="16"/>
      <c r="Y22" s="17"/>
      <c r="Z22" s="16"/>
      <c r="AA22" s="17"/>
      <c r="AB22" s="14">
        <v>1.75</v>
      </c>
      <c r="AC22" s="15">
        <f>1.4-1.05</f>
        <v>0.34999999999999987</v>
      </c>
    </row>
    <row r="23" spans="1:29">
      <c r="A23" s="57" t="s">
        <v>130</v>
      </c>
      <c r="B23" s="9"/>
      <c r="C23" s="9"/>
      <c r="D23" s="6">
        <v>60.44</v>
      </c>
      <c r="E23" s="4">
        <f t="shared" si="1"/>
        <v>79.155999999999992</v>
      </c>
      <c r="F23" s="16"/>
      <c r="G23" s="17"/>
      <c r="H23" s="16"/>
      <c r="I23" s="17"/>
      <c r="J23" s="16"/>
      <c r="K23" s="17"/>
      <c r="L23" s="16"/>
      <c r="M23" s="17"/>
      <c r="N23" s="14">
        <v>2.1</v>
      </c>
      <c r="O23" s="15">
        <v>1.4</v>
      </c>
      <c r="P23" s="14">
        <v>0.9</v>
      </c>
      <c r="Q23" s="15">
        <v>1.4</v>
      </c>
      <c r="R23" s="14">
        <v>0.9</v>
      </c>
      <c r="S23" s="15">
        <v>1.4</v>
      </c>
      <c r="T23" s="16"/>
      <c r="U23" s="17"/>
      <c r="V23" s="16"/>
      <c r="W23" s="17"/>
      <c r="X23" s="16"/>
      <c r="Y23" s="17"/>
      <c r="Z23" s="16"/>
      <c r="AA23" s="17"/>
      <c r="AB23" s="16"/>
      <c r="AC23" s="17"/>
    </row>
    <row r="25" spans="1:29">
      <c r="A25" s="56" t="s">
        <v>158</v>
      </c>
      <c r="B25" s="155">
        <f>SUM(E17:E23)</f>
        <v>495.971</v>
      </c>
      <c r="C25" s="156"/>
    </row>
    <row r="26" spans="1:29" ht="5.0999999999999996" customHeight="1"/>
    <row r="27" spans="1:29">
      <c r="A27" s="48" t="s">
        <v>161</v>
      </c>
    </row>
    <row r="28" spans="1:29" hidden="1"/>
    <row r="29" spans="1:29" hidden="1"/>
    <row r="30" spans="1:29" hidden="1"/>
    <row r="31" spans="1:29" hidden="1"/>
    <row r="32" spans="1:29" hidden="1"/>
    <row r="36" spans="1:3">
      <c r="A36" s="56" t="s">
        <v>162</v>
      </c>
      <c r="B36" s="155">
        <f>B8+B25</f>
        <v>596.75900000000001</v>
      </c>
      <c r="C36" s="156"/>
    </row>
    <row r="37" spans="1:3" hidden="1">
      <c r="A37" s="5" t="s">
        <v>329</v>
      </c>
    </row>
  </sheetData>
  <mergeCells count="30">
    <mergeCell ref="A1:AC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B8:C8"/>
    <mergeCell ref="F14:AC14"/>
    <mergeCell ref="AB15:AC15"/>
    <mergeCell ref="B25:C25"/>
    <mergeCell ref="B36:C36"/>
    <mergeCell ref="P15:Q15"/>
    <mergeCell ref="R15:S15"/>
    <mergeCell ref="T15:U15"/>
    <mergeCell ref="V15:W15"/>
    <mergeCell ref="X15:Y15"/>
    <mergeCell ref="Z15:AA15"/>
    <mergeCell ref="F15:G15"/>
    <mergeCell ref="H15:I15"/>
    <mergeCell ref="J15:K15"/>
    <mergeCell ref="L15:M15"/>
    <mergeCell ref="N15:O15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7"/>
  <sheetViews>
    <sheetView zoomScale="85" zoomScaleNormal="85" workbookViewId="0">
      <pane ySplit="2" topLeftCell="A3" activePane="bottomLeft" state="frozenSplit"/>
      <selection pane="bottomLeft" activeCell="A7" sqref="A7:XFD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330</v>
      </c>
      <c r="B1" s="154"/>
      <c r="C1" s="154"/>
      <c r="D1" s="154"/>
      <c r="E1" s="154"/>
    </row>
    <row r="2" spans="1:16" ht="30" customHeight="1">
      <c r="A2" s="1"/>
      <c r="B2" s="30" t="s">
        <v>289</v>
      </c>
      <c r="C2" s="10" t="s">
        <v>7</v>
      </c>
      <c r="D2" s="30" t="s">
        <v>8</v>
      </c>
      <c r="E2" s="18" t="s">
        <v>2</v>
      </c>
      <c r="I2" s="1"/>
      <c r="J2" s="1"/>
      <c r="K2" s="1"/>
      <c r="L2" s="1"/>
      <c r="M2" s="1"/>
      <c r="N2" s="1"/>
      <c r="O2" s="1"/>
      <c r="P2" s="1"/>
    </row>
    <row r="3" spans="1:16">
      <c r="A3" s="128" t="s">
        <v>290</v>
      </c>
      <c r="B3" s="127">
        <v>0</v>
      </c>
      <c r="C3" s="6">
        <v>0</v>
      </c>
      <c r="D3" s="6">
        <v>0</v>
      </c>
      <c r="E3" s="6">
        <v>0</v>
      </c>
      <c r="I3" s="1"/>
      <c r="J3" s="1"/>
      <c r="K3" s="1"/>
      <c r="L3" s="1"/>
      <c r="M3" s="1"/>
      <c r="N3" s="1"/>
      <c r="O3" s="1"/>
      <c r="P3" s="1"/>
    </row>
    <row r="4" spans="1:16">
      <c r="A4" s="128" t="s">
        <v>291</v>
      </c>
      <c r="B4" s="127">
        <v>0</v>
      </c>
      <c r="C4" s="6">
        <v>0</v>
      </c>
      <c r="D4" s="6">
        <v>0</v>
      </c>
      <c r="E4" s="6">
        <v>0</v>
      </c>
      <c r="I4" s="1"/>
      <c r="J4" s="1"/>
      <c r="K4" s="1"/>
      <c r="L4" s="1"/>
      <c r="M4" s="1"/>
      <c r="N4" s="1"/>
      <c r="O4" s="1"/>
      <c r="P4" s="1"/>
    </row>
    <row r="5" spans="1:16">
      <c r="I5" s="1"/>
      <c r="J5" s="1"/>
      <c r="K5" s="1"/>
      <c r="L5" s="1"/>
      <c r="M5" s="1"/>
      <c r="N5" s="1"/>
      <c r="O5" s="1"/>
      <c r="P5" s="1"/>
    </row>
    <row r="6" spans="1:16">
      <c r="A6" s="128" t="s">
        <v>83</v>
      </c>
      <c r="B6" s="159">
        <f>SUM(E3:E4)</f>
        <v>0</v>
      </c>
      <c r="C6" s="160"/>
    </row>
    <row r="7" spans="1:16" hidden="1">
      <c r="A7" s="5" t="s">
        <v>331</v>
      </c>
    </row>
  </sheetData>
  <mergeCells count="2">
    <mergeCell ref="B6:C6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56"/>
  <sheetViews>
    <sheetView zoomScale="85" zoomScaleNormal="85" workbookViewId="0">
      <selection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332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7" t="s">
        <v>118</v>
      </c>
      <c r="B5" s="9"/>
      <c r="C5" s="9"/>
      <c r="D5" s="6">
        <v>27.06</v>
      </c>
      <c r="E5" s="4">
        <f t="shared" ref="E5:E12" si="0">(D5*$A$3)-((F5*G5)+(H5*I5)+(J5*K5)+(L5*M5)+(N5*O5)+(P5*Q5)+(R5*S5)+(T5*U5)+(V5*W5)+(X5*Y5)+(Z5*AA5)+(AB5*AC5))</f>
        <v>81.800999999999988</v>
      </c>
      <c r="F5" s="78">
        <v>3</v>
      </c>
      <c r="G5" s="79">
        <v>1</v>
      </c>
      <c r="H5" s="63"/>
      <c r="I5" s="64"/>
      <c r="J5" s="63"/>
      <c r="K5" s="64"/>
      <c r="L5" s="63"/>
      <c r="M5" s="64"/>
      <c r="N5" s="78">
        <v>2.1</v>
      </c>
      <c r="O5" s="79">
        <v>2.1</v>
      </c>
      <c r="P5" s="78">
        <v>1.33</v>
      </c>
      <c r="Q5" s="79">
        <v>2.1</v>
      </c>
      <c r="R5" s="63"/>
      <c r="S5" s="64"/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I5" s="1"/>
      <c r="AJ5" s="1"/>
      <c r="AK5" s="1"/>
      <c r="AL5" s="1"/>
      <c r="AM5" s="1"/>
      <c r="AN5" s="1"/>
    </row>
    <row r="6" spans="1:40">
      <c r="A6" s="57" t="s">
        <v>112</v>
      </c>
      <c r="B6" s="6">
        <v>4.25</v>
      </c>
      <c r="C6" s="6">
        <v>2.0499999999999998</v>
      </c>
      <c r="D6" s="6">
        <f t="shared" ref="D6" si="1">2*(B6+C6)</f>
        <v>12.6</v>
      </c>
      <c r="E6" s="4">
        <f t="shared" si="0"/>
        <v>41.16</v>
      </c>
      <c r="F6" s="63"/>
      <c r="G6" s="64"/>
      <c r="H6" s="63"/>
      <c r="I6" s="64"/>
      <c r="J6" s="63"/>
      <c r="K6" s="64"/>
      <c r="L6" s="63"/>
      <c r="M6" s="64"/>
      <c r="N6" s="78">
        <v>0.8</v>
      </c>
      <c r="O6" s="79">
        <v>2.1</v>
      </c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I6" s="1"/>
      <c r="AJ6" s="1"/>
      <c r="AK6" s="1"/>
      <c r="AL6" s="1"/>
      <c r="AM6" s="1"/>
      <c r="AN6" s="1"/>
    </row>
    <row r="7" spans="1:40">
      <c r="A7" s="57" t="s">
        <v>119</v>
      </c>
      <c r="B7" s="9"/>
      <c r="C7" s="9"/>
      <c r="D7" s="6">
        <v>25.76</v>
      </c>
      <c r="E7" s="4">
        <f t="shared" si="0"/>
        <v>81.494</v>
      </c>
      <c r="F7" s="63"/>
      <c r="G7" s="64"/>
      <c r="H7" s="63"/>
      <c r="I7" s="64"/>
      <c r="J7" s="63"/>
      <c r="K7" s="64"/>
      <c r="L7" s="63"/>
      <c r="M7" s="64"/>
      <c r="N7" s="78">
        <v>2.1</v>
      </c>
      <c r="O7" s="79">
        <v>2.1</v>
      </c>
      <c r="P7" s="78">
        <v>0.8</v>
      </c>
      <c r="Q7" s="79">
        <v>2.1</v>
      </c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7" t="s">
        <v>124</v>
      </c>
      <c r="B8" s="9"/>
      <c r="C8" s="9"/>
      <c r="D8" s="6">
        <v>23.2</v>
      </c>
      <c r="E8" s="4">
        <f t="shared" si="0"/>
        <v>70.143999999999991</v>
      </c>
      <c r="F8" s="63"/>
      <c r="G8" s="64"/>
      <c r="H8" s="63"/>
      <c r="I8" s="64"/>
      <c r="J8" s="63"/>
      <c r="K8" s="64"/>
      <c r="L8" s="63"/>
      <c r="M8" s="64"/>
      <c r="N8" s="78">
        <v>0.8</v>
      </c>
      <c r="O8" s="79">
        <v>2.1</v>
      </c>
      <c r="P8" s="78">
        <v>0.9</v>
      </c>
      <c r="Q8" s="79">
        <v>2.1</v>
      </c>
      <c r="R8" s="78">
        <v>0.9</v>
      </c>
      <c r="S8" s="79">
        <v>2.1</v>
      </c>
      <c r="T8" s="63"/>
      <c r="U8" s="64"/>
      <c r="V8" s="63"/>
      <c r="W8" s="64"/>
      <c r="X8" s="63"/>
      <c r="Y8" s="64"/>
      <c r="Z8" s="63"/>
      <c r="AA8" s="64"/>
      <c r="AB8" s="78">
        <v>1.56</v>
      </c>
      <c r="AC8" s="79">
        <v>2.1</v>
      </c>
      <c r="AG8" s="1"/>
      <c r="AH8" s="1"/>
      <c r="AI8" s="1"/>
      <c r="AJ8" s="1"/>
      <c r="AK8" s="1"/>
      <c r="AL8" s="1"/>
      <c r="AM8" s="1"/>
      <c r="AN8" s="1"/>
    </row>
    <row r="9" spans="1:40">
      <c r="A9" s="57" t="s">
        <v>125</v>
      </c>
      <c r="B9" s="6">
        <v>7</v>
      </c>
      <c r="C9" s="6">
        <v>3.45</v>
      </c>
      <c r="D9" s="6">
        <f t="shared" ref="D9" si="2">2*(B9+C9)</f>
        <v>20.9</v>
      </c>
      <c r="E9" s="4">
        <f t="shared" si="0"/>
        <v>64.85499999999999</v>
      </c>
      <c r="F9" s="78">
        <v>2</v>
      </c>
      <c r="G9" s="79">
        <v>1</v>
      </c>
      <c r="H9" s="78">
        <v>2</v>
      </c>
      <c r="I9" s="79">
        <v>1</v>
      </c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78">
        <v>1.05</v>
      </c>
      <c r="AA9" s="79">
        <v>2.1</v>
      </c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7" t="s">
        <v>129</v>
      </c>
      <c r="B10" s="6">
        <v>4.55</v>
      </c>
      <c r="C10" s="6">
        <v>2.75</v>
      </c>
      <c r="D10" s="6">
        <f t="shared" ref="D10:D12" si="3">2*(B10+C10)</f>
        <v>14.6</v>
      </c>
      <c r="E10" s="4">
        <f t="shared" si="0"/>
        <v>47.33</v>
      </c>
      <c r="F10" s="63"/>
      <c r="G10" s="64"/>
      <c r="H10" s="63"/>
      <c r="I10" s="64"/>
      <c r="J10" s="63"/>
      <c r="K10" s="64"/>
      <c r="L10" s="63"/>
      <c r="M10" s="64"/>
      <c r="N10" s="78">
        <v>1.1000000000000001</v>
      </c>
      <c r="O10" s="79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57" t="s">
        <v>115</v>
      </c>
      <c r="B11" s="6">
        <v>5.0999999999999996</v>
      </c>
      <c r="C11" s="6">
        <v>4.0199999999999996</v>
      </c>
      <c r="D11" s="6">
        <f t="shared" si="3"/>
        <v>18.239999999999998</v>
      </c>
      <c r="E11" s="4">
        <f t="shared" si="0"/>
        <v>44.609999999999992</v>
      </c>
      <c r="F11" s="78">
        <v>5.0999999999999996</v>
      </c>
      <c r="G11" s="79">
        <v>1</v>
      </c>
      <c r="H11" s="63"/>
      <c r="I11" s="64"/>
      <c r="J11" s="63"/>
      <c r="K11" s="64"/>
      <c r="L11" s="63"/>
      <c r="M11" s="64"/>
      <c r="N11" s="78">
        <v>1.48</v>
      </c>
      <c r="O11" s="79">
        <v>2.1</v>
      </c>
      <c r="P11" s="78">
        <v>1.48</v>
      </c>
      <c r="Q11" s="79">
        <v>2.1</v>
      </c>
      <c r="R11" s="78">
        <v>0.8</v>
      </c>
      <c r="S11" s="79">
        <v>2.1</v>
      </c>
      <c r="T11" s="78">
        <v>2.1</v>
      </c>
      <c r="U11" s="79">
        <v>2.1</v>
      </c>
      <c r="V11" s="63"/>
      <c r="W11" s="64"/>
      <c r="X11" s="63"/>
      <c r="Y11" s="64"/>
      <c r="Z11" s="63"/>
      <c r="AA11" s="64"/>
      <c r="AB11" s="63"/>
      <c r="AC11" s="64"/>
    </row>
    <row r="12" spans="1:40">
      <c r="A12" s="57" t="s">
        <v>111</v>
      </c>
      <c r="B12" s="6">
        <v>1.85</v>
      </c>
      <c r="C12" s="6">
        <v>4.5</v>
      </c>
      <c r="D12" s="6">
        <f t="shared" si="3"/>
        <v>12.7</v>
      </c>
      <c r="E12" s="4">
        <f t="shared" si="0"/>
        <v>39.65</v>
      </c>
      <c r="F12" s="78">
        <v>1.85</v>
      </c>
      <c r="G12" s="79">
        <v>1</v>
      </c>
      <c r="H12" s="63"/>
      <c r="I12" s="64"/>
      <c r="J12" s="63"/>
      <c r="K12" s="64"/>
      <c r="L12" s="63"/>
      <c r="M12" s="64"/>
      <c r="N12" s="78">
        <v>0.8</v>
      </c>
      <c r="O12" s="79">
        <v>2.1</v>
      </c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</row>
    <row r="13" spans="1:40">
      <c r="E13" s="143"/>
    </row>
    <row r="14" spans="1:40">
      <c r="A14" s="56" t="s">
        <v>24</v>
      </c>
      <c r="B14" s="9"/>
      <c r="C14" s="9"/>
      <c r="D14" s="6">
        <f>175.67-4.2-21.9</f>
        <v>149.57</v>
      </c>
      <c r="E14" s="81">
        <f>(D14*($A$3+0.35))-((F14*G14)+(H14*I14)+(J14*K14)+(L14*M14)+(N14*O14)+(P14*Q14)+(R14*S14)+(T14*U14)+(V14*W14)+(X14*Y14)+(Z14*AA14)+(AB14*AC14))</f>
        <v>411.88249999999994</v>
      </c>
      <c r="F14" s="78">
        <f>7*2</f>
        <v>14</v>
      </c>
      <c r="G14" s="79">
        <v>1</v>
      </c>
      <c r="H14" s="78">
        <f>3*1</f>
        <v>3</v>
      </c>
      <c r="I14" s="79">
        <v>0.8</v>
      </c>
      <c r="J14" s="78">
        <f>3*3</f>
        <v>9</v>
      </c>
      <c r="K14" s="79">
        <v>1</v>
      </c>
      <c r="L14" s="78">
        <f>3*2.75</f>
        <v>8.25</v>
      </c>
      <c r="M14" s="79">
        <v>1</v>
      </c>
      <c r="N14" s="78">
        <v>7.75</v>
      </c>
      <c r="O14" s="79">
        <v>9.5</v>
      </c>
      <c r="P14" s="78">
        <v>13.9</v>
      </c>
      <c r="Q14" s="79">
        <v>1</v>
      </c>
      <c r="R14" s="78">
        <v>7.1</v>
      </c>
      <c r="S14" s="79">
        <v>1</v>
      </c>
      <c r="T14" s="78">
        <v>4.1500000000000004</v>
      </c>
      <c r="U14" s="79">
        <v>1</v>
      </c>
      <c r="V14" s="78">
        <v>3.35</v>
      </c>
      <c r="W14" s="79">
        <v>1</v>
      </c>
      <c r="X14" s="78">
        <v>11.55</v>
      </c>
      <c r="Y14" s="79">
        <v>1</v>
      </c>
      <c r="Z14" s="63"/>
      <c r="AA14" s="64"/>
      <c r="AB14" s="78">
        <v>0.8</v>
      </c>
      <c r="AC14" s="79">
        <v>2.1</v>
      </c>
    </row>
    <row r="16" spans="1:40">
      <c r="A16" s="56" t="s">
        <v>158</v>
      </c>
      <c r="B16" s="165">
        <f>SUM(E5:E14)</f>
        <v>882.92649999999981</v>
      </c>
      <c r="C16" s="166"/>
    </row>
    <row r="17" spans="1:29" ht="5.0999999999999996" customHeight="1"/>
    <row r="18" spans="1:29">
      <c r="A18" s="48" t="s">
        <v>163</v>
      </c>
    </row>
    <row r="22" spans="1:29">
      <c r="A22" s="12" t="s">
        <v>160</v>
      </c>
      <c r="B22" s="3"/>
      <c r="C22" s="3"/>
      <c r="D22" s="3"/>
      <c r="E22" s="3"/>
      <c r="F22" s="154" t="s">
        <v>6</v>
      </c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</row>
    <row r="23" spans="1:29">
      <c r="A23" s="46">
        <v>1.4</v>
      </c>
      <c r="B23" s="3"/>
      <c r="C23" s="3"/>
      <c r="D23" s="3"/>
      <c r="E23" s="3"/>
      <c r="F23" s="157" t="s">
        <v>9</v>
      </c>
      <c r="G23" s="158"/>
      <c r="H23" s="157" t="s">
        <v>12</v>
      </c>
      <c r="I23" s="158"/>
      <c r="J23" s="157" t="s">
        <v>13</v>
      </c>
      <c r="K23" s="158"/>
      <c r="L23" s="157" t="s">
        <v>14</v>
      </c>
      <c r="M23" s="158"/>
      <c r="N23" s="157" t="s">
        <v>15</v>
      </c>
      <c r="O23" s="158"/>
      <c r="P23" s="157" t="s">
        <v>16</v>
      </c>
      <c r="Q23" s="158"/>
      <c r="R23" s="157" t="s">
        <v>17</v>
      </c>
      <c r="S23" s="158"/>
      <c r="T23" s="154" t="s">
        <v>18</v>
      </c>
      <c r="U23" s="154"/>
      <c r="V23" s="154" t="s">
        <v>19</v>
      </c>
      <c r="W23" s="154"/>
      <c r="X23" s="154" t="s">
        <v>20</v>
      </c>
      <c r="Y23" s="154"/>
      <c r="Z23" s="154" t="s">
        <v>22</v>
      </c>
      <c r="AA23" s="154"/>
      <c r="AB23" s="154" t="s">
        <v>23</v>
      </c>
      <c r="AC23" s="154"/>
    </row>
    <row r="24" spans="1:29" ht="43.5">
      <c r="A24" s="1"/>
      <c r="B24" s="10" t="s">
        <v>7</v>
      </c>
      <c r="C24" s="10" t="s">
        <v>8</v>
      </c>
      <c r="D24" s="11" t="s">
        <v>2</v>
      </c>
      <c r="E24" s="11" t="s">
        <v>3</v>
      </c>
      <c r="F24" s="2" t="s">
        <v>10</v>
      </c>
      <c r="G24" s="2" t="s">
        <v>11</v>
      </c>
      <c r="H24" s="2" t="s">
        <v>10</v>
      </c>
      <c r="I24" s="2" t="s">
        <v>11</v>
      </c>
      <c r="J24" s="2" t="s">
        <v>10</v>
      </c>
      <c r="K24" s="2" t="s">
        <v>11</v>
      </c>
      <c r="L24" s="2" t="s">
        <v>10</v>
      </c>
      <c r="M24" s="2" t="s">
        <v>11</v>
      </c>
      <c r="N24" s="2" t="s">
        <v>10</v>
      </c>
      <c r="O24" s="2" t="s">
        <v>11</v>
      </c>
      <c r="P24" s="2" t="s">
        <v>10</v>
      </c>
      <c r="Q24" s="2" t="s">
        <v>11</v>
      </c>
      <c r="R24" s="2" t="s">
        <v>10</v>
      </c>
      <c r="S24" s="2" t="s">
        <v>11</v>
      </c>
      <c r="T24" s="2" t="s">
        <v>10</v>
      </c>
      <c r="U24" s="2" t="s">
        <v>11</v>
      </c>
      <c r="V24" s="2" t="s">
        <v>10</v>
      </c>
      <c r="W24" s="2" t="s">
        <v>11</v>
      </c>
      <c r="X24" s="2" t="s">
        <v>10</v>
      </c>
      <c r="Y24" s="2" t="s">
        <v>11</v>
      </c>
      <c r="Z24" s="2" t="s">
        <v>10</v>
      </c>
      <c r="AA24" s="2" t="s">
        <v>11</v>
      </c>
      <c r="AB24" s="2" t="s">
        <v>10</v>
      </c>
      <c r="AC24" s="2" t="s">
        <v>11</v>
      </c>
    </row>
    <row r="25" spans="1:29">
      <c r="A25" s="57" t="s">
        <v>121</v>
      </c>
      <c r="B25" s="9"/>
      <c r="C25" s="9"/>
      <c r="D25" s="6">
        <v>54.42</v>
      </c>
      <c r="E25" s="4">
        <f t="shared" ref="E25:E31" si="4">(D25*($A$3-$A$23))-((F25*G25)+(H25*I25)+(J25*K25)+(L25*M25)+(N25*O25)+(P25*Q25)+(R25*S25)+(T25*U25)+(V25*W25)+(X25*Y25)+(Z25*AA25)+(AB25*AC25))</f>
        <v>26.485000000000014</v>
      </c>
      <c r="F25" s="78">
        <v>3</v>
      </c>
      <c r="G25" s="79">
        <v>1</v>
      </c>
      <c r="H25" s="78">
        <v>3</v>
      </c>
      <c r="I25" s="79">
        <v>1</v>
      </c>
      <c r="J25" s="78">
        <v>7.75</v>
      </c>
      <c r="K25" s="79">
        <v>9.5</v>
      </c>
      <c r="L25" s="63"/>
      <c r="M25" s="64"/>
      <c r="N25" s="78">
        <v>0.9</v>
      </c>
      <c r="O25" s="79">
        <v>0.7</v>
      </c>
      <c r="P25" s="78">
        <v>0.9</v>
      </c>
      <c r="Q25" s="79">
        <v>0.7</v>
      </c>
      <c r="R25" s="78">
        <v>2.1</v>
      </c>
      <c r="S25" s="79">
        <v>0.7</v>
      </c>
      <c r="T25" s="63"/>
      <c r="U25" s="64"/>
      <c r="V25" s="63"/>
      <c r="W25" s="64"/>
      <c r="X25" s="63"/>
      <c r="Y25" s="64"/>
      <c r="Z25" s="63"/>
      <c r="AA25" s="64"/>
      <c r="AB25" s="63"/>
      <c r="AC25" s="64"/>
    </row>
    <row r="26" spans="1:29">
      <c r="A26" s="57" t="s">
        <v>122</v>
      </c>
      <c r="B26" s="9"/>
      <c r="C26" s="9"/>
      <c r="D26" s="6">
        <v>20.239999999999998</v>
      </c>
      <c r="E26" s="4">
        <f t="shared" si="4"/>
        <v>25.25</v>
      </c>
      <c r="F26" s="63"/>
      <c r="G26" s="64"/>
      <c r="H26" s="63"/>
      <c r="I26" s="64"/>
      <c r="J26" s="63"/>
      <c r="K26" s="64"/>
      <c r="L26" s="63"/>
      <c r="M26" s="64"/>
      <c r="N26" s="78">
        <v>2.1</v>
      </c>
      <c r="O26" s="79">
        <v>0.7</v>
      </c>
      <c r="P26" s="78">
        <v>0.8</v>
      </c>
      <c r="Q26" s="79">
        <v>0.7</v>
      </c>
      <c r="R26" s="63"/>
      <c r="S26" s="64"/>
      <c r="T26" s="63"/>
      <c r="U26" s="64"/>
      <c r="V26" s="63"/>
      <c r="W26" s="64"/>
      <c r="X26" s="63"/>
      <c r="Y26" s="64"/>
      <c r="Z26" s="63"/>
      <c r="AA26" s="64"/>
      <c r="AB26" s="78">
        <v>6.6</v>
      </c>
      <c r="AC26" s="79">
        <v>2</v>
      </c>
    </row>
    <row r="27" spans="1:29">
      <c r="A27" s="57" t="s">
        <v>123</v>
      </c>
      <c r="B27" s="9"/>
      <c r="C27" s="9"/>
      <c r="D27" s="6">
        <v>56.3</v>
      </c>
      <c r="E27" s="4">
        <f t="shared" si="4"/>
        <v>101.61999999999999</v>
      </c>
      <c r="F27" s="78">
        <v>2.75</v>
      </c>
      <c r="G27" s="79">
        <v>1</v>
      </c>
      <c r="H27" s="78">
        <v>2.75</v>
      </c>
      <c r="I27" s="79">
        <v>1</v>
      </c>
      <c r="J27" s="78">
        <v>2.75</v>
      </c>
      <c r="K27" s="79">
        <v>1</v>
      </c>
      <c r="L27" s="63"/>
      <c r="M27" s="64"/>
      <c r="N27" s="78">
        <v>2.1</v>
      </c>
      <c r="O27" s="79">
        <v>0.7</v>
      </c>
      <c r="P27" s="78">
        <v>0.9</v>
      </c>
      <c r="Q27" s="79">
        <v>0.7</v>
      </c>
      <c r="R27" s="78">
        <v>0.9</v>
      </c>
      <c r="S27" s="79">
        <v>0.7</v>
      </c>
      <c r="T27" s="63"/>
      <c r="U27" s="64"/>
      <c r="V27" s="63"/>
      <c r="W27" s="64"/>
      <c r="X27" s="63"/>
      <c r="Y27" s="64"/>
      <c r="Z27" s="63"/>
      <c r="AA27" s="64"/>
      <c r="AB27" s="63"/>
      <c r="AC27" s="64"/>
    </row>
    <row r="28" spans="1:29">
      <c r="A28" s="57" t="s">
        <v>120</v>
      </c>
      <c r="B28" s="6">
        <v>8.8000000000000007</v>
      </c>
      <c r="C28" s="6">
        <v>12.7</v>
      </c>
      <c r="D28" s="6">
        <f t="shared" ref="D28" si="5">2*(B28+C28)</f>
        <v>43</v>
      </c>
      <c r="E28" s="4">
        <f t="shared" si="4"/>
        <v>78.92</v>
      </c>
      <c r="F28" s="78">
        <v>2</v>
      </c>
      <c r="G28" s="79">
        <v>1</v>
      </c>
      <c r="H28" s="78">
        <v>2</v>
      </c>
      <c r="I28" s="79">
        <v>1</v>
      </c>
      <c r="J28" s="63"/>
      <c r="K28" s="64"/>
      <c r="L28" s="63"/>
      <c r="M28" s="64"/>
      <c r="N28" s="63"/>
      <c r="O28" s="64"/>
      <c r="P28" s="63"/>
      <c r="Q28" s="64"/>
      <c r="R28" s="63"/>
      <c r="S28" s="64"/>
      <c r="T28" s="63"/>
      <c r="U28" s="64"/>
      <c r="V28" s="63"/>
      <c r="W28" s="64"/>
      <c r="X28" s="63"/>
      <c r="Y28" s="64"/>
      <c r="Z28" s="78">
        <v>2.2000000000000002</v>
      </c>
      <c r="AA28" s="79">
        <v>0.7</v>
      </c>
      <c r="AB28" s="78">
        <v>2.2000000000000002</v>
      </c>
      <c r="AC28" s="79">
        <v>0.7</v>
      </c>
    </row>
    <row r="29" spans="1:29">
      <c r="A29" s="57" t="s">
        <v>4</v>
      </c>
      <c r="B29" s="9"/>
      <c r="C29" s="9"/>
      <c r="D29" s="6">
        <v>125.2</v>
      </c>
      <c r="E29" s="4">
        <f t="shared" si="4"/>
        <v>212.48250000000002</v>
      </c>
      <c r="F29" s="78">
        <v>2</v>
      </c>
      <c r="G29" s="79">
        <v>1</v>
      </c>
      <c r="H29" s="63"/>
      <c r="I29" s="64"/>
      <c r="J29" s="63"/>
      <c r="K29" s="64"/>
      <c r="L29" s="63"/>
      <c r="M29" s="64"/>
      <c r="N29" s="78">
        <f>6*2.1</f>
        <v>12.600000000000001</v>
      </c>
      <c r="O29" s="79">
        <v>0.7</v>
      </c>
      <c r="P29" s="78">
        <f>5*0.8</f>
        <v>4</v>
      </c>
      <c r="Q29" s="79">
        <v>0.7</v>
      </c>
      <c r="R29" s="78">
        <f>1.1*3</f>
        <v>3.3000000000000003</v>
      </c>
      <c r="S29" s="79">
        <v>0.7</v>
      </c>
      <c r="T29" s="78">
        <v>1.1000000000000001</v>
      </c>
      <c r="U29" s="79">
        <v>0.7</v>
      </c>
      <c r="V29" s="63"/>
      <c r="W29" s="64"/>
      <c r="X29" s="78">
        <v>1.75</v>
      </c>
      <c r="Y29" s="79">
        <v>0.65</v>
      </c>
      <c r="Z29" s="78">
        <f>2.2+2.2</f>
        <v>4.4000000000000004</v>
      </c>
      <c r="AA29" s="79">
        <v>0.7</v>
      </c>
      <c r="AB29" s="78">
        <f>6.6+1.9</f>
        <v>8.5</v>
      </c>
      <c r="AC29" s="79">
        <v>2</v>
      </c>
    </row>
    <row r="30" spans="1:29">
      <c r="A30" s="57" t="s">
        <v>128</v>
      </c>
      <c r="B30" s="9"/>
      <c r="C30" s="9"/>
      <c r="D30" s="6">
        <v>58.94</v>
      </c>
      <c r="E30" s="4">
        <f t="shared" si="4"/>
        <v>97.112499999999997</v>
      </c>
      <c r="F30" s="78">
        <v>2</v>
      </c>
      <c r="G30" s="79">
        <v>1</v>
      </c>
      <c r="H30" s="78">
        <v>11.55</v>
      </c>
      <c r="I30" s="79">
        <v>1</v>
      </c>
      <c r="J30" s="78">
        <v>3.35</v>
      </c>
      <c r="K30" s="79">
        <v>1</v>
      </c>
      <c r="L30" s="63"/>
      <c r="M30" s="64"/>
      <c r="N30" s="78">
        <v>0.9</v>
      </c>
      <c r="O30" s="79">
        <v>0.7</v>
      </c>
      <c r="P30" s="78">
        <v>0.9</v>
      </c>
      <c r="Q30" s="79">
        <v>0.7</v>
      </c>
      <c r="R30" s="78">
        <v>2.1</v>
      </c>
      <c r="S30" s="79">
        <v>0.7</v>
      </c>
      <c r="T30" s="63"/>
      <c r="U30" s="64"/>
      <c r="V30" s="63"/>
      <c r="W30" s="64"/>
      <c r="X30" s="63"/>
      <c r="Y30" s="64"/>
      <c r="Z30" s="63"/>
      <c r="AA30" s="64"/>
      <c r="AB30" s="78">
        <v>1.75</v>
      </c>
      <c r="AC30" s="79">
        <v>0.65</v>
      </c>
    </row>
    <row r="31" spans="1:29">
      <c r="A31" s="57" t="s">
        <v>130</v>
      </c>
      <c r="B31" s="9"/>
      <c r="C31" s="9"/>
      <c r="D31" s="6">
        <v>60.44</v>
      </c>
      <c r="E31" s="4">
        <f t="shared" si="4"/>
        <v>104.25</v>
      </c>
      <c r="F31" s="78">
        <v>13.9</v>
      </c>
      <c r="G31" s="79">
        <v>1</v>
      </c>
      <c r="H31" s="63"/>
      <c r="I31" s="64"/>
      <c r="J31" s="63"/>
      <c r="K31" s="64"/>
      <c r="L31" s="63"/>
      <c r="M31" s="64"/>
      <c r="N31" s="78">
        <v>2.1</v>
      </c>
      <c r="O31" s="79">
        <v>0.7</v>
      </c>
      <c r="P31" s="78">
        <v>0.9</v>
      </c>
      <c r="Q31" s="79">
        <v>0.7</v>
      </c>
      <c r="R31" s="78">
        <v>0.9</v>
      </c>
      <c r="S31" s="79">
        <v>0.7</v>
      </c>
      <c r="T31" s="63"/>
      <c r="U31" s="64"/>
      <c r="V31" s="63"/>
      <c r="W31" s="64"/>
      <c r="X31" s="63"/>
      <c r="Y31" s="64"/>
      <c r="Z31" s="63"/>
      <c r="AA31" s="64"/>
      <c r="AB31" s="63"/>
      <c r="AC31" s="64"/>
    </row>
    <row r="33" spans="1:5">
      <c r="A33" s="56" t="s">
        <v>158</v>
      </c>
      <c r="B33" s="155">
        <f>SUM(E25:E31)</f>
        <v>646.12</v>
      </c>
      <c r="C33" s="156"/>
    </row>
    <row r="34" spans="1:5" ht="5.0999999999999996" customHeight="1"/>
    <row r="35" spans="1:5">
      <c r="A35" s="48" t="s">
        <v>164</v>
      </c>
    </row>
    <row r="36" spans="1:5" hidden="1"/>
    <row r="37" spans="1:5" hidden="1"/>
    <row r="38" spans="1:5" hidden="1"/>
    <row r="39" spans="1:5" hidden="1">
      <c r="E39" s="42"/>
    </row>
    <row r="40" spans="1:5" hidden="1"/>
    <row r="41" spans="1:5" hidden="1"/>
    <row r="42" spans="1:5" hidden="1"/>
    <row r="43" spans="1:5" hidden="1"/>
    <row r="44" spans="1:5" hidden="1"/>
    <row r="45" spans="1:5" hidden="1"/>
    <row r="46" spans="1:5" hidden="1"/>
    <row r="47" spans="1:5" hidden="1"/>
    <row r="48" spans="1:5" hidden="1"/>
    <row r="49" spans="1:3" hidden="1"/>
    <row r="50" spans="1:3" hidden="1"/>
    <row r="51" spans="1:3" hidden="1"/>
    <row r="55" spans="1:3">
      <c r="A55" s="56" t="s">
        <v>162</v>
      </c>
      <c r="B55" s="163">
        <f>B16+B33</f>
        <v>1529.0464999999999</v>
      </c>
      <c r="C55" s="164"/>
    </row>
    <row r="56" spans="1:3" hidden="1">
      <c r="A56" s="5" t="s">
        <v>333</v>
      </c>
    </row>
  </sheetData>
  <mergeCells count="30">
    <mergeCell ref="A1:AC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B16:C16"/>
    <mergeCell ref="F22:AC22"/>
    <mergeCell ref="AB23:AC23"/>
    <mergeCell ref="B33:C33"/>
    <mergeCell ref="B55:C55"/>
    <mergeCell ref="P23:Q23"/>
    <mergeCell ref="R23:S23"/>
    <mergeCell ref="T23:U23"/>
    <mergeCell ref="V23:W23"/>
    <mergeCell ref="X23:Y23"/>
    <mergeCell ref="Z23:AA23"/>
    <mergeCell ref="F23:G23"/>
    <mergeCell ref="H23:I23"/>
    <mergeCell ref="J23:K23"/>
    <mergeCell ref="L23:M23"/>
    <mergeCell ref="N23:O2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334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52" t="s">
        <v>120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52" t="s">
        <v>119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52" t="s">
        <v>118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11" spans="1:16">
      <c r="A11" s="52" t="s">
        <v>83</v>
      </c>
      <c r="B11" s="155">
        <f>SUM(E3:E5)</f>
        <v>183.94</v>
      </c>
      <c r="C11" s="156"/>
    </row>
    <row r="12" spans="1:16" hidden="1">
      <c r="A12" s="5" t="s">
        <v>335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1" t="s">
        <v>336</v>
      </c>
      <c r="B1" s="152"/>
      <c r="C1" s="152"/>
      <c r="D1" s="152"/>
      <c r="E1" s="153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3" t="s">
        <v>120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3" t="s">
        <v>119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3" t="s">
        <v>118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3" t="s">
        <v>83</v>
      </c>
      <c r="B11" s="155">
        <f>SUM(E3:E5)</f>
        <v>183.94</v>
      </c>
      <c r="C11" s="156"/>
    </row>
    <row r="12" spans="1:16" hidden="1">
      <c r="A12" s="5" t="s">
        <v>337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85"/>
  <sheetViews>
    <sheetView zoomScale="85" zoomScaleNormal="85" zoomScaleSheetLayoutView="85" workbookViewId="0">
      <pane ySplit="4" topLeftCell="A5" activePane="bottomLeft" state="frozenSplit"/>
      <selection pane="bottomLeft" activeCell="A85" sqref="A85:XFD85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1" t="s">
        <v>297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3"/>
    </row>
    <row r="2" spans="1:38" s="3" customFormat="1">
      <c r="A2" s="12" t="s">
        <v>21</v>
      </c>
      <c r="D2" s="154" t="s">
        <v>6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</row>
    <row r="3" spans="1:38" s="3" customFormat="1">
      <c r="A3" s="46">
        <f>Memória!A2</f>
        <v>3.4</v>
      </c>
      <c r="D3" s="157" t="s">
        <v>9</v>
      </c>
      <c r="E3" s="158"/>
      <c r="F3" s="157" t="s">
        <v>12</v>
      </c>
      <c r="G3" s="158"/>
      <c r="H3" s="157" t="s">
        <v>13</v>
      </c>
      <c r="I3" s="158"/>
      <c r="J3" s="157" t="s">
        <v>14</v>
      </c>
      <c r="K3" s="158"/>
      <c r="L3" s="157" t="s">
        <v>15</v>
      </c>
      <c r="M3" s="158"/>
      <c r="N3" s="157" t="s">
        <v>16</v>
      </c>
      <c r="O3" s="158"/>
      <c r="P3" s="157" t="s">
        <v>17</v>
      </c>
      <c r="Q3" s="158"/>
      <c r="R3" s="154" t="s">
        <v>18</v>
      </c>
      <c r="S3" s="154"/>
      <c r="T3" s="154" t="s">
        <v>19</v>
      </c>
      <c r="U3" s="154"/>
      <c r="V3" s="154" t="s">
        <v>20</v>
      </c>
      <c r="W3" s="154"/>
      <c r="X3" s="154" t="s">
        <v>22</v>
      </c>
      <c r="Y3" s="154"/>
      <c r="Z3" s="154" t="s">
        <v>23</v>
      </c>
      <c r="AA3" s="154"/>
    </row>
    <row r="4" spans="1:38" ht="30" customHeight="1">
      <c r="A4" s="1"/>
      <c r="B4" s="18" t="s">
        <v>26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57" t="s">
        <v>29</v>
      </c>
      <c r="B5" s="7">
        <v>2.5</v>
      </c>
      <c r="C5" s="81">
        <f t="shared" ref="C5:C23" si="0">(B5*$A$3)-((D5*E5)+(F5*G5)+(H5*I5)+(J5*K5)+(L5*M5)+(N5*O5)+(P5*Q5)+(R5*S5)+(T5*U5)+(V5*W5)+(X5*Y5)+(Z5*AA5))</f>
        <v>8.5</v>
      </c>
      <c r="D5" s="63"/>
      <c r="E5" s="64"/>
      <c r="F5" s="63"/>
      <c r="G5" s="64"/>
      <c r="H5" s="63"/>
      <c r="I5" s="64"/>
      <c r="J5" s="63"/>
      <c r="K5" s="64"/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</row>
    <row r="6" spans="1:38">
      <c r="A6" s="57" t="s">
        <v>30</v>
      </c>
      <c r="B6" s="7">
        <v>2.5</v>
      </c>
      <c r="C6" s="81">
        <f t="shared" si="0"/>
        <v>8.5</v>
      </c>
      <c r="D6" s="63"/>
      <c r="E6" s="64"/>
      <c r="F6" s="63"/>
      <c r="G6" s="64"/>
      <c r="H6" s="63"/>
      <c r="I6" s="64"/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</row>
    <row r="7" spans="1:38">
      <c r="A7" s="57" t="s">
        <v>31</v>
      </c>
      <c r="B7" s="7">
        <v>1.95</v>
      </c>
      <c r="C7" s="81">
        <f t="shared" si="0"/>
        <v>6.63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</row>
    <row r="8" spans="1:38">
      <c r="A8" s="57" t="s">
        <v>33</v>
      </c>
      <c r="B8" s="7">
        <v>2.17</v>
      </c>
      <c r="C8" s="81">
        <f t="shared" si="0"/>
        <v>5.1729999999999992</v>
      </c>
      <c r="D8" s="63"/>
      <c r="E8" s="64"/>
      <c r="F8" s="63"/>
      <c r="G8" s="64"/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78">
        <v>1.05</v>
      </c>
      <c r="AA8" s="79">
        <v>2.1</v>
      </c>
    </row>
    <row r="9" spans="1:38">
      <c r="A9" s="57" t="s">
        <v>34</v>
      </c>
      <c r="B9" s="7">
        <v>1.95</v>
      </c>
      <c r="C9" s="81">
        <f t="shared" si="0"/>
        <v>6.63</v>
      </c>
      <c r="D9" s="63"/>
      <c r="E9" s="64"/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</row>
    <row r="10" spans="1:38">
      <c r="A10" s="57" t="s">
        <v>35</v>
      </c>
      <c r="B10" s="7">
        <v>5.4</v>
      </c>
      <c r="C10" s="81">
        <f t="shared" si="0"/>
        <v>16.68</v>
      </c>
      <c r="D10" s="63"/>
      <c r="E10" s="64"/>
      <c r="F10" s="63"/>
      <c r="G10" s="64"/>
      <c r="H10" s="63"/>
      <c r="I10" s="64"/>
      <c r="J10" s="63"/>
      <c r="K10" s="64"/>
      <c r="L10" s="78">
        <v>0.8</v>
      </c>
      <c r="M10" s="79">
        <v>2.1</v>
      </c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</row>
    <row r="11" spans="1:38">
      <c r="A11" s="57" t="s">
        <v>37</v>
      </c>
      <c r="B11" s="7">
        <v>2.17</v>
      </c>
      <c r="C11" s="81">
        <f t="shared" si="0"/>
        <v>4.1019999999999985</v>
      </c>
      <c r="D11" s="63"/>
      <c r="E11" s="64"/>
      <c r="F11" s="63"/>
      <c r="G11" s="64"/>
      <c r="H11" s="63"/>
      <c r="I11" s="64"/>
      <c r="J11" s="63"/>
      <c r="K11" s="64"/>
      <c r="L11" s="63"/>
      <c r="M11" s="64"/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78">
        <v>1.56</v>
      </c>
      <c r="AA11" s="79">
        <v>2.1</v>
      </c>
    </row>
    <row r="12" spans="1:38">
      <c r="A12" s="57" t="s">
        <v>40</v>
      </c>
      <c r="B12" s="7">
        <v>1.895</v>
      </c>
      <c r="C12" s="81">
        <f t="shared" si="0"/>
        <v>6.4429999999999996</v>
      </c>
      <c r="D12" s="63"/>
      <c r="E12" s="64"/>
      <c r="F12" s="63"/>
      <c r="G12" s="64"/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</row>
    <row r="13" spans="1:38">
      <c r="A13" s="57" t="s">
        <v>41</v>
      </c>
      <c r="B13" s="7">
        <v>7.2</v>
      </c>
      <c r="C13" s="81">
        <f t="shared" si="0"/>
        <v>22.59</v>
      </c>
      <c r="D13" s="63"/>
      <c r="E13" s="64"/>
      <c r="F13" s="63"/>
      <c r="G13" s="64"/>
      <c r="H13" s="63"/>
      <c r="I13" s="64"/>
      <c r="J13" s="63"/>
      <c r="K13" s="64"/>
      <c r="L13" s="78">
        <v>0.9</v>
      </c>
      <c r="M13" s="79">
        <v>2.1</v>
      </c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</row>
    <row r="14" spans="1:38">
      <c r="A14" s="57" t="s">
        <v>42</v>
      </c>
      <c r="B14" s="7">
        <v>8.8000000000000007</v>
      </c>
      <c r="C14" s="81">
        <f t="shared" si="0"/>
        <v>20.68</v>
      </c>
      <c r="D14" s="63"/>
      <c r="E14" s="64"/>
      <c r="F14" s="63"/>
      <c r="G14" s="64"/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78">
        <v>2.2000000000000002</v>
      </c>
      <c r="Y14" s="79">
        <v>2.1</v>
      </c>
      <c r="Z14" s="78">
        <v>2.2000000000000002</v>
      </c>
      <c r="AA14" s="79">
        <v>2.1</v>
      </c>
    </row>
    <row r="15" spans="1:38">
      <c r="A15" s="57" t="s">
        <v>43</v>
      </c>
      <c r="B15" s="7">
        <v>11.15</v>
      </c>
      <c r="C15" s="81">
        <f t="shared" si="0"/>
        <v>34.550000000000004</v>
      </c>
      <c r="D15" s="63"/>
      <c r="E15" s="64"/>
      <c r="F15" s="63"/>
      <c r="G15" s="64"/>
      <c r="H15" s="63"/>
      <c r="I15" s="64"/>
      <c r="J15" s="63"/>
      <c r="K15" s="64"/>
      <c r="L15" s="78">
        <v>0.8</v>
      </c>
      <c r="M15" s="79">
        <v>2.1</v>
      </c>
      <c r="N15" s="78">
        <v>0.8</v>
      </c>
      <c r="O15" s="79">
        <v>2.1</v>
      </c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</row>
    <row r="16" spans="1:38">
      <c r="A16" s="57" t="s">
        <v>44</v>
      </c>
      <c r="B16" s="7">
        <v>17.8</v>
      </c>
      <c r="C16" s="81">
        <f t="shared" si="0"/>
        <v>49.650000000000006</v>
      </c>
      <c r="D16" s="63"/>
      <c r="E16" s="64"/>
      <c r="F16" s="63"/>
      <c r="G16" s="64"/>
      <c r="H16" s="63"/>
      <c r="I16" s="64"/>
      <c r="J16" s="63"/>
      <c r="K16" s="64"/>
      <c r="L16" s="78">
        <v>2.1</v>
      </c>
      <c r="M16" s="79">
        <v>2.1</v>
      </c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78">
        <v>1.9</v>
      </c>
      <c r="AA16" s="79">
        <v>3.4</v>
      </c>
    </row>
    <row r="17" spans="1:38">
      <c r="A17" s="57" t="s">
        <v>45</v>
      </c>
      <c r="B17" s="7">
        <v>19.95</v>
      </c>
      <c r="C17" s="81">
        <f t="shared" si="0"/>
        <v>54.739999999999995</v>
      </c>
      <c r="D17" s="63"/>
      <c r="E17" s="64"/>
      <c r="F17" s="63"/>
      <c r="G17" s="64"/>
      <c r="H17" s="63"/>
      <c r="I17" s="64"/>
      <c r="J17" s="63"/>
      <c r="K17" s="64"/>
      <c r="L17" s="78">
        <v>1.1000000000000001</v>
      </c>
      <c r="M17" s="79">
        <v>2.1</v>
      </c>
      <c r="N17" s="78">
        <v>1.1000000000000001</v>
      </c>
      <c r="O17" s="79">
        <v>2.1</v>
      </c>
      <c r="P17" s="78">
        <v>2.1</v>
      </c>
      <c r="Q17" s="79">
        <v>2.1</v>
      </c>
      <c r="R17" s="78">
        <v>1.1000000000000001</v>
      </c>
      <c r="S17" s="79">
        <v>2.1</v>
      </c>
      <c r="T17" s="63"/>
      <c r="U17" s="64"/>
      <c r="V17" s="63"/>
      <c r="W17" s="64"/>
      <c r="X17" s="78">
        <v>1.75</v>
      </c>
      <c r="Y17" s="79">
        <v>1</v>
      </c>
      <c r="Z17" s="63"/>
      <c r="AA17" s="64"/>
    </row>
    <row r="18" spans="1:38">
      <c r="A18" s="57" t="s">
        <v>46</v>
      </c>
      <c r="B18" s="7">
        <v>24.4</v>
      </c>
      <c r="C18" s="81">
        <f t="shared" si="0"/>
        <v>78.55</v>
      </c>
      <c r="D18" s="63"/>
      <c r="E18" s="64"/>
      <c r="F18" s="63"/>
      <c r="G18" s="64"/>
      <c r="H18" s="63"/>
      <c r="I18" s="64"/>
      <c r="J18" s="63"/>
      <c r="K18" s="64"/>
      <c r="L18" s="78">
        <v>2.1</v>
      </c>
      <c r="M18" s="79">
        <v>2.1</v>
      </c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38">
      <c r="A19" s="57" t="s">
        <v>47</v>
      </c>
      <c r="B19" s="7">
        <v>3.75</v>
      </c>
      <c r="C19" s="81">
        <f t="shared" si="0"/>
        <v>12.75</v>
      </c>
      <c r="D19" s="63"/>
      <c r="E19" s="64"/>
      <c r="F19" s="63"/>
      <c r="G19" s="64"/>
      <c r="H19" s="63"/>
      <c r="I19" s="64"/>
      <c r="J19" s="63"/>
      <c r="K19" s="64"/>
      <c r="L19" s="63"/>
      <c r="M19" s="64"/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</row>
    <row r="20" spans="1:38">
      <c r="A20" s="57" t="s">
        <v>48</v>
      </c>
      <c r="B20" s="7">
        <v>4.55</v>
      </c>
      <c r="C20" s="81">
        <f t="shared" si="0"/>
        <v>15.469999999999999</v>
      </c>
      <c r="D20" s="63"/>
      <c r="E20" s="64"/>
      <c r="F20" s="63"/>
      <c r="G20" s="64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</row>
    <row r="21" spans="1:38">
      <c r="A21" s="57" t="s">
        <v>49</v>
      </c>
      <c r="B21" s="7">
        <v>10.4</v>
      </c>
      <c r="C21" s="81">
        <f t="shared" si="0"/>
        <v>35.36</v>
      </c>
      <c r="D21" s="63"/>
      <c r="E21" s="64"/>
      <c r="F21" s="63"/>
      <c r="G21" s="64"/>
      <c r="H21" s="63"/>
      <c r="I21" s="64"/>
      <c r="J21" s="63"/>
      <c r="K21" s="64"/>
      <c r="L21" s="63"/>
      <c r="M21" s="64"/>
      <c r="N21" s="63"/>
      <c r="O21" s="64"/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</row>
    <row r="22" spans="1:38">
      <c r="A22" s="57" t="s">
        <v>50</v>
      </c>
      <c r="B22" s="7">
        <v>2.8</v>
      </c>
      <c r="C22" s="81">
        <f t="shared" si="0"/>
        <v>9.52</v>
      </c>
      <c r="D22" s="63"/>
      <c r="E22" s="64"/>
      <c r="F22" s="63"/>
      <c r="G22" s="64"/>
      <c r="H22" s="63"/>
      <c r="I22" s="64"/>
      <c r="J22" s="63"/>
      <c r="K22" s="64"/>
      <c r="L22" s="63"/>
      <c r="M22" s="64"/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</row>
    <row r="23" spans="1:38">
      <c r="A23" s="57" t="s">
        <v>51</v>
      </c>
      <c r="B23" s="7">
        <v>6.2</v>
      </c>
      <c r="C23" s="81">
        <f t="shared" si="0"/>
        <v>17.299999999999997</v>
      </c>
      <c r="D23" s="63"/>
      <c r="E23" s="64"/>
      <c r="F23" s="63"/>
      <c r="G23" s="64"/>
      <c r="H23" s="63"/>
      <c r="I23" s="64"/>
      <c r="J23" s="63"/>
      <c r="K23" s="64"/>
      <c r="L23" s="78">
        <v>0.9</v>
      </c>
      <c r="M23" s="79">
        <v>2.1</v>
      </c>
      <c r="N23" s="78">
        <v>0.9</v>
      </c>
      <c r="O23" s="79">
        <v>2.1</v>
      </c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</row>
    <row r="24" spans="1:38" ht="15.75" thickBot="1">
      <c r="A24" s="28" t="s">
        <v>53</v>
      </c>
      <c r="B24" s="19">
        <v>6.9</v>
      </c>
      <c r="C24" s="20">
        <f t="shared" ref="C24" si="1">(B24*$A$3)-((D24*E24)+(F24*G24)+(H24*I24)+(J24*K24)+(L24*M24)+(N24*O24)+(P24*Q24)+(R24*S24)+(T24*U24)+(V24*W24)+(X24*Y24)+(Z24*AA24))</f>
        <v>19.05</v>
      </c>
      <c r="D24" s="23"/>
      <c r="E24" s="24"/>
      <c r="F24" s="23"/>
      <c r="G24" s="24"/>
      <c r="H24" s="23"/>
      <c r="I24" s="24"/>
      <c r="J24" s="23"/>
      <c r="K24" s="24"/>
      <c r="L24" s="21">
        <v>2.1</v>
      </c>
      <c r="M24" s="22">
        <v>2.1</v>
      </c>
      <c r="N24" s="23"/>
      <c r="O24" s="24"/>
      <c r="P24" s="23"/>
      <c r="Q24" s="24"/>
      <c r="R24" s="23"/>
      <c r="S24" s="24"/>
      <c r="T24" s="23"/>
      <c r="U24" s="24"/>
      <c r="V24" s="23"/>
      <c r="W24" s="24"/>
      <c r="X24" s="23"/>
      <c r="Y24" s="24"/>
      <c r="Z24" s="23"/>
      <c r="AA24" s="24"/>
      <c r="AE24" s="1"/>
      <c r="AF24" s="1"/>
      <c r="AG24" s="1"/>
      <c r="AH24" s="1"/>
      <c r="AI24" s="1"/>
      <c r="AJ24" s="1"/>
      <c r="AK24" s="1"/>
      <c r="AL24" s="1"/>
    </row>
    <row r="25" spans="1:38">
      <c r="A25" s="57" t="s">
        <v>57</v>
      </c>
      <c r="B25" s="7">
        <v>3.69</v>
      </c>
      <c r="C25" s="81">
        <f t="shared" ref="C25:C49" si="2">(B25*$A$3)-((D25*E25)+(F25*G25)+(H25*I25)+(J25*K25)+(L25*M25)+(N25*O25)+(P25*Q25)+(R25*S25)+(T25*U25)+(V25*W25)+(X25*Y25)+(Z25*AA25))</f>
        <v>8.3459999999999983</v>
      </c>
      <c r="D25" s="63"/>
      <c r="E25" s="64"/>
      <c r="F25" s="63"/>
      <c r="G25" s="64"/>
      <c r="H25" s="63"/>
      <c r="I25" s="64"/>
      <c r="J25" s="63"/>
      <c r="K25" s="64"/>
      <c r="L25" s="78">
        <v>1.1000000000000001</v>
      </c>
      <c r="M25" s="79">
        <v>2.1</v>
      </c>
      <c r="N25" s="78">
        <v>0.9</v>
      </c>
      <c r="O25" s="79">
        <v>2.1</v>
      </c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</row>
    <row r="26" spans="1:38">
      <c r="A26" s="57" t="s">
        <v>58</v>
      </c>
      <c r="B26" s="7">
        <f>3.69-0.15</f>
        <v>3.54</v>
      </c>
      <c r="C26" s="81">
        <f t="shared" si="2"/>
        <v>12.036</v>
      </c>
      <c r="D26" s="63"/>
      <c r="E26" s="64"/>
      <c r="F26" s="63"/>
      <c r="G26" s="64"/>
      <c r="H26" s="63"/>
      <c r="I26" s="64"/>
      <c r="J26" s="63"/>
      <c r="K26" s="64"/>
      <c r="L26" s="63"/>
      <c r="M26" s="64"/>
      <c r="N26" s="63"/>
      <c r="O26" s="64"/>
      <c r="P26" s="63"/>
      <c r="Q26" s="64"/>
      <c r="R26" s="63"/>
      <c r="S26" s="64"/>
      <c r="T26" s="63"/>
      <c r="U26" s="64"/>
      <c r="V26" s="63"/>
      <c r="W26" s="64"/>
      <c r="X26" s="63"/>
      <c r="Y26" s="64"/>
      <c r="Z26" s="63"/>
      <c r="AA26" s="64"/>
    </row>
    <row r="27" spans="1:38">
      <c r="A27" s="57" t="s">
        <v>59</v>
      </c>
      <c r="B27" s="7">
        <v>3.69</v>
      </c>
      <c r="C27" s="81">
        <f t="shared" si="2"/>
        <v>8.3459999999999983</v>
      </c>
      <c r="D27" s="63"/>
      <c r="E27" s="64"/>
      <c r="F27" s="63"/>
      <c r="G27" s="64"/>
      <c r="H27" s="63"/>
      <c r="I27" s="64"/>
      <c r="J27" s="63"/>
      <c r="K27" s="64"/>
      <c r="L27" s="78">
        <v>1.1000000000000001</v>
      </c>
      <c r="M27" s="79">
        <v>2.1</v>
      </c>
      <c r="N27" s="78">
        <v>0.9</v>
      </c>
      <c r="O27" s="79">
        <v>2.1</v>
      </c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63"/>
      <c r="AA27" s="64"/>
    </row>
    <row r="28" spans="1:38">
      <c r="A28" s="57" t="s">
        <v>60</v>
      </c>
      <c r="B28" s="7">
        <v>12.7</v>
      </c>
      <c r="C28" s="81">
        <f t="shared" si="2"/>
        <v>43.18</v>
      </c>
      <c r="D28" s="63"/>
      <c r="E28" s="64"/>
      <c r="F28" s="63"/>
      <c r="G28" s="64"/>
      <c r="H28" s="63"/>
      <c r="I28" s="64"/>
      <c r="J28" s="63"/>
      <c r="K28" s="64"/>
      <c r="L28" s="63"/>
      <c r="M28" s="64"/>
      <c r="N28" s="63"/>
      <c r="O28" s="64"/>
      <c r="P28" s="63"/>
      <c r="Q28" s="64"/>
      <c r="R28" s="63"/>
      <c r="S28" s="64"/>
      <c r="T28" s="63"/>
      <c r="U28" s="64"/>
      <c r="V28" s="63"/>
      <c r="W28" s="64"/>
      <c r="X28" s="63"/>
      <c r="Y28" s="64"/>
      <c r="Z28" s="63"/>
      <c r="AA28" s="64"/>
    </row>
    <row r="29" spans="1:38">
      <c r="A29" s="57" t="s">
        <v>61</v>
      </c>
      <c r="B29" s="7">
        <v>3.69</v>
      </c>
      <c r="C29" s="81">
        <f t="shared" si="2"/>
        <v>12.545999999999999</v>
      </c>
      <c r="D29" s="63"/>
      <c r="E29" s="64"/>
      <c r="F29" s="63"/>
      <c r="G29" s="64"/>
      <c r="H29" s="63"/>
      <c r="I29" s="64"/>
      <c r="J29" s="63"/>
      <c r="K29" s="64"/>
      <c r="L29" s="63"/>
      <c r="M29" s="64"/>
      <c r="N29" s="63"/>
      <c r="O29" s="64"/>
      <c r="P29" s="63"/>
      <c r="Q29" s="64"/>
      <c r="R29" s="63"/>
      <c r="S29" s="64"/>
      <c r="T29" s="63"/>
      <c r="U29" s="64"/>
      <c r="V29" s="63"/>
      <c r="W29" s="64"/>
      <c r="X29" s="63"/>
      <c r="Y29" s="64"/>
      <c r="Z29" s="63"/>
      <c r="AA29" s="64"/>
    </row>
    <row r="30" spans="1:38">
      <c r="A30" s="57" t="s">
        <v>64</v>
      </c>
      <c r="B30" s="7">
        <v>1.95</v>
      </c>
      <c r="C30" s="81">
        <f t="shared" si="2"/>
        <v>6.63</v>
      </c>
      <c r="D30" s="63"/>
      <c r="E30" s="64"/>
      <c r="F30" s="63"/>
      <c r="G30" s="64"/>
      <c r="H30" s="63"/>
      <c r="I30" s="64"/>
      <c r="J30" s="63"/>
      <c r="K30" s="64"/>
      <c r="L30" s="63"/>
      <c r="M30" s="64"/>
      <c r="N30" s="63"/>
      <c r="O30" s="64"/>
      <c r="P30" s="63"/>
      <c r="Q30" s="64"/>
      <c r="R30" s="63"/>
      <c r="S30" s="64"/>
      <c r="T30" s="63"/>
      <c r="U30" s="64"/>
      <c r="V30" s="63"/>
      <c r="W30" s="64"/>
      <c r="X30" s="63"/>
      <c r="Y30" s="64"/>
      <c r="Z30" s="63"/>
      <c r="AA30" s="64"/>
    </row>
    <row r="31" spans="1:38">
      <c r="A31" s="57" t="s">
        <v>65</v>
      </c>
      <c r="B31" s="7">
        <v>10.82</v>
      </c>
      <c r="C31" s="81">
        <f t="shared" si="2"/>
        <v>33.007999999999996</v>
      </c>
      <c r="D31" s="63"/>
      <c r="E31" s="64"/>
      <c r="F31" s="63"/>
      <c r="G31" s="64"/>
      <c r="H31" s="63"/>
      <c r="I31" s="64"/>
      <c r="J31" s="63"/>
      <c r="K31" s="64"/>
      <c r="L31" s="78">
        <v>0.9</v>
      </c>
      <c r="M31" s="79">
        <v>2.1</v>
      </c>
      <c r="N31" s="78">
        <v>0.9</v>
      </c>
      <c r="O31" s="79">
        <v>2.1</v>
      </c>
      <c r="P31" s="63"/>
      <c r="Q31" s="64"/>
      <c r="R31" s="63"/>
      <c r="S31" s="64"/>
      <c r="T31" s="63"/>
      <c r="U31" s="64"/>
      <c r="V31" s="63"/>
      <c r="W31" s="64"/>
      <c r="X31" s="63"/>
      <c r="Y31" s="64"/>
      <c r="Z31" s="63"/>
      <c r="AA31" s="64"/>
    </row>
    <row r="32" spans="1:38">
      <c r="A32" s="57" t="s">
        <v>66</v>
      </c>
      <c r="B32" s="7">
        <v>1.95</v>
      </c>
      <c r="C32" s="81">
        <f t="shared" si="2"/>
        <v>6.63</v>
      </c>
      <c r="D32" s="63"/>
      <c r="E32" s="64"/>
      <c r="F32" s="63"/>
      <c r="G32" s="64"/>
      <c r="H32" s="63"/>
      <c r="I32" s="64"/>
      <c r="J32" s="63"/>
      <c r="K32" s="64"/>
      <c r="L32" s="63"/>
      <c r="M32" s="64"/>
      <c r="N32" s="63"/>
      <c r="O32" s="64"/>
      <c r="P32" s="63"/>
      <c r="Q32" s="64"/>
      <c r="R32" s="63"/>
      <c r="S32" s="64"/>
      <c r="T32" s="63"/>
      <c r="U32" s="64"/>
      <c r="V32" s="63"/>
      <c r="W32" s="64"/>
      <c r="X32" s="63"/>
      <c r="Y32" s="64"/>
      <c r="Z32" s="63"/>
      <c r="AA32" s="64"/>
    </row>
    <row r="33" spans="1:27">
      <c r="A33" s="57" t="s">
        <v>67</v>
      </c>
      <c r="B33" s="7">
        <v>2.35</v>
      </c>
      <c r="C33" s="81">
        <f t="shared" si="2"/>
        <v>6.1</v>
      </c>
      <c r="D33" s="63"/>
      <c r="E33" s="64"/>
      <c r="F33" s="63"/>
      <c r="G33" s="64"/>
      <c r="H33" s="63"/>
      <c r="I33" s="64"/>
      <c r="J33" s="63"/>
      <c r="K33" s="64"/>
      <c r="L33" s="78">
        <v>0.9</v>
      </c>
      <c r="M33" s="79">
        <v>2.1</v>
      </c>
      <c r="N33" s="63"/>
      <c r="O33" s="64"/>
      <c r="P33" s="63"/>
      <c r="Q33" s="64"/>
      <c r="R33" s="63"/>
      <c r="S33" s="64"/>
      <c r="T33" s="63"/>
      <c r="U33" s="64"/>
      <c r="V33" s="63"/>
      <c r="W33" s="64"/>
      <c r="X33" s="63"/>
      <c r="Y33" s="64"/>
      <c r="Z33" s="63"/>
      <c r="AA33" s="64"/>
    </row>
    <row r="34" spans="1:27">
      <c r="A34" s="57" t="s">
        <v>68</v>
      </c>
      <c r="B34" s="7">
        <v>1.95</v>
      </c>
      <c r="C34" s="81">
        <f t="shared" si="2"/>
        <v>6.63</v>
      </c>
      <c r="D34" s="63"/>
      <c r="E34" s="64"/>
      <c r="F34" s="63"/>
      <c r="G34" s="64"/>
      <c r="H34" s="63"/>
      <c r="I34" s="64"/>
      <c r="J34" s="63"/>
      <c r="K34" s="64"/>
      <c r="L34" s="63"/>
      <c r="M34" s="64"/>
      <c r="N34" s="63"/>
      <c r="O34" s="64"/>
      <c r="P34" s="63"/>
      <c r="Q34" s="64"/>
      <c r="R34" s="63"/>
      <c r="S34" s="64"/>
      <c r="T34" s="63"/>
      <c r="U34" s="64"/>
      <c r="V34" s="63"/>
      <c r="W34" s="64"/>
      <c r="X34" s="63"/>
      <c r="Y34" s="64"/>
      <c r="Z34" s="63"/>
      <c r="AA34" s="64"/>
    </row>
    <row r="35" spans="1:27">
      <c r="A35" s="57" t="s">
        <v>70</v>
      </c>
      <c r="B35" s="7">
        <v>4.0199999999999996</v>
      </c>
      <c r="C35" s="81">
        <f t="shared" si="2"/>
        <v>7.4519999999999973</v>
      </c>
      <c r="D35" s="63"/>
      <c r="E35" s="64"/>
      <c r="F35" s="63"/>
      <c r="G35" s="64"/>
      <c r="H35" s="63"/>
      <c r="I35" s="64"/>
      <c r="J35" s="63"/>
      <c r="K35" s="64"/>
      <c r="L35" s="78">
        <v>1.48</v>
      </c>
      <c r="M35" s="79">
        <v>2.1</v>
      </c>
      <c r="N35" s="78">
        <v>1.48</v>
      </c>
      <c r="O35" s="79">
        <v>2.1</v>
      </c>
      <c r="P35" s="63"/>
      <c r="Q35" s="64"/>
      <c r="R35" s="63"/>
      <c r="S35" s="64"/>
      <c r="T35" s="63"/>
      <c r="U35" s="64"/>
      <c r="V35" s="63"/>
      <c r="W35" s="64"/>
      <c r="X35" s="63"/>
      <c r="Y35" s="64"/>
      <c r="Z35" s="63"/>
      <c r="AA35" s="64"/>
    </row>
    <row r="36" spans="1:27">
      <c r="A36" s="57" t="s">
        <v>71</v>
      </c>
      <c r="B36" s="7">
        <v>3.75</v>
      </c>
      <c r="C36" s="81">
        <f t="shared" si="2"/>
        <v>12.75</v>
      </c>
      <c r="D36" s="63"/>
      <c r="E36" s="64"/>
      <c r="F36" s="63"/>
      <c r="G36" s="64"/>
      <c r="H36" s="63"/>
      <c r="I36" s="64"/>
      <c r="J36" s="63"/>
      <c r="K36" s="64"/>
      <c r="L36" s="63"/>
      <c r="M36" s="64"/>
      <c r="N36" s="63"/>
      <c r="O36" s="64"/>
      <c r="P36" s="63"/>
      <c r="Q36" s="64"/>
      <c r="R36" s="63"/>
      <c r="S36" s="64"/>
      <c r="T36" s="63"/>
      <c r="U36" s="64"/>
      <c r="V36" s="63"/>
      <c r="W36" s="64"/>
      <c r="X36" s="63"/>
      <c r="Y36" s="64"/>
      <c r="Z36" s="63"/>
      <c r="AA36" s="64"/>
    </row>
    <row r="37" spans="1:27">
      <c r="A37" s="57" t="s">
        <v>72</v>
      </c>
      <c r="B37" s="7">
        <v>2.35</v>
      </c>
      <c r="C37" s="81">
        <f t="shared" si="2"/>
        <v>7.99</v>
      </c>
      <c r="D37" s="63"/>
      <c r="E37" s="64"/>
      <c r="F37" s="63"/>
      <c r="G37" s="64"/>
      <c r="H37" s="63"/>
      <c r="I37" s="64"/>
      <c r="J37" s="63"/>
      <c r="K37" s="64"/>
      <c r="L37" s="63"/>
      <c r="M37" s="64"/>
      <c r="N37" s="63"/>
      <c r="O37" s="64"/>
      <c r="P37" s="63"/>
      <c r="Q37" s="64"/>
      <c r="R37" s="63"/>
      <c r="S37" s="64"/>
      <c r="T37" s="63"/>
      <c r="U37" s="64"/>
      <c r="V37" s="63"/>
      <c r="W37" s="64"/>
      <c r="X37" s="63"/>
      <c r="Y37" s="64"/>
      <c r="Z37" s="63"/>
      <c r="AA37" s="64"/>
    </row>
    <row r="38" spans="1:27">
      <c r="A38" s="57" t="s">
        <v>73</v>
      </c>
      <c r="B38" s="7">
        <v>2.0499999999999998</v>
      </c>
      <c r="C38" s="81">
        <f t="shared" si="2"/>
        <v>6.9699999999999989</v>
      </c>
      <c r="D38" s="63"/>
      <c r="E38" s="64"/>
      <c r="F38" s="63"/>
      <c r="G38" s="64"/>
      <c r="H38" s="63"/>
      <c r="I38" s="64"/>
      <c r="J38" s="63"/>
      <c r="K38" s="64"/>
      <c r="L38" s="63"/>
      <c r="M38" s="64"/>
      <c r="N38" s="63"/>
      <c r="O38" s="64"/>
      <c r="P38" s="63"/>
      <c r="Q38" s="64"/>
      <c r="R38" s="63"/>
      <c r="S38" s="64"/>
      <c r="T38" s="63"/>
      <c r="U38" s="64"/>
      <c r="V38" s="63"/>
      <c r="W38" s="64"/>
      <c r="X38" s="63"/>
      <c r="Y38" s="64"/>
      <c r="Z38" s="63"/>
      <c r="AA38" s="64"/>
    </row>
    <row r="39" spans="1:27">
      <c r="A39" s="57" t="s">
        <v>74</v>
      </c>
      <c r="B39" s="7">
        <v>6.65</v>
      </c>
      <c r="C39" s="81">
        <f t="shared" si="2"/>
        <v>20.93</v>
      </c>
      <c r="D39" s="63"/>
      <c r="E39" s="64"/>
      <c r="F39" s="63"/>
      <c r="G39" s="64"/>
      <c r="H39" s="63"/>
      <c r="I39" s="64"/>
      <c r="J39" s="63"/>
      <c r="K39" s="64"/>
      <c r="L39" s="78">
        <v>0.8</v>
      </c>
      <c r="M39" s="79">
        <v>2.1</v>
      </c>
      <c r="N39" s="63"/>
      <c r="O39" s="64"/>
      <c r="P39" s="63"/>
      <c r="Q39" s="64"/>
      <c r="R39" s="63"/>
      <c r="S39" s="64"/>
      <c r="T39" s="63"/>
      <c r="U39" s="64"/>
      <c r="V39" s="63"/>
      <c r="W39" s="64"/>
      <c r="X39" s="63"/>
      <c r="Y39" s="64"/>
      <c r="Z39" s="63"/>
      <c r="AA39" s="64"/>
    </row>
    <row r="40" spans="1:27">
      <c r="A40" s="57" t="s">
        <v>75</v>
      </c>
      <c r="B40" s="7">
        <f>6.85+2.05</f>
        <v>8.8999999999999986</v>
      </c>
      <c r="C40" s="81">
        <f t="shared" si="2"/>
        <v>23.539999999999992</v>
      </c>
      <c r="D40" s="63"/>
      <c r="E40" s="64"/>
      <c r="F40" s="63"/>
      <c r="G40" s="64"/>
      <c r="H40" s="63"/>
      <c r="I40" s="64"/>
      <c r="J40" s="63"/>
      <c r="K40" s="64"/>
      <c r="L40" s="78">
        <v>1.1000000000000001</v>
      </c>
      <c r="M40" s="79">
        <v>2.1</v>
      </c>
      <c r="N40" s="78">
        <v>2.1</v>
      </c>
      <c r="O40" s="79">
        <v>2.1</v>
      </c>
      <c r="P40" s="63"/>
      <c r="Q40" s="64"/>
      <c r="R40" s="63"/>
      <c r="S40" s="64"/>
      <c r="T40" s="63"/>
      <c r="U40" s="64"/>
      <c r="V40" s="63"/>
      <c r="W40" s="64"/>
      <c r="X40" s="63"/>
      <c r="Y40" s="64"/>
      <c r="Z40" s="63"/>
      <c r="AA40" s="64"/>
    </row>
    <row r="41" spans="1:27">
      <c r="A41" s="57" t="s">
        <v>76</v>
      </c>
      <c r="B41" s="7">
        <v>10.82</v>
      </c>
      <c r="C41" s="81">
        <f t="shared" si="2"/>
        <v>35.107999999999997</v>
      </c>
      <c r="D41" s="63"/>
      <c r="E41" s="64"/>
      <c r="F41" s="63"/>
      <c r="G41" s="64"/>
      <c r="H41" s="63"/>
      <c r="I41" s="64"/>
      <c r="J41" s="63"/>
      <c r="K41" s="64"/>
      <c r="L41" s="78">
        <v>0.8</v>
      </c>
      <c r="M41" s="79">
        <v>2.1</v>
      </c>
      <c r="N41" s="63"/>
      <c r="O41" s="64"/>
      <c r="P41" s="63"/>
      <c r="Q41" s="64"/>
      <c r="R41" s="63"/>
      <c r="S41" s="64"/>
      <c r="T41" s="63"/>
      <c r="U41" s="64"/>
      <c r="V41" s="63"/>
      <c r="W41" s="64"/>
      <c r="X41" s="63"/>
      <c r="Y41" s="64"/>
      <c r="Z41" s="63"/>
      <c r="AA41" s="64"/>
    </row>
    <row r="42" spans="1:27">
      <c r="A42" s="57" t="s">
        <v>77</v>
      </c>
      <c r="B42" s="7">
        <v>7</v>
      </c>
      <c r="C42" s="81">
        <f t="shared" si="2"/>
        <v>22.12</v>
      </c>
      <c r="D42" s="63"/>
      <c r="E42" s="64"/>
      <c r="F42" s="63"/>
      <c r="G42" s="64"/>
      <c r="H42" s="63"/>
      <c r="I42" s="64"/>
      <c r="J42" s="63"/>
      <c r="K42" s="64"/>
      <c r="L42" s="78">
        <v>0.8</v>
      </c>
      <c r="M42" s="79">
        <v>2.1</v>
      </c>
      <c r="N42" s="63"/>
      <c r="O42" s="64"/>
      <c r="P42" s="63"/>
      <c r="Q42" s="64"/>
      <c r="R42" s="63"/>
      <c r="S42" s="64"/>
      <c r="T42" s="63"/>
      <c r="U42" s="64"/>
      <c r="V42" s="63"/>
      <c r="W42" s="64"/>
      <c r="X42" s="63"/>
      <c r="Y42" s="64"/>
      <c r="Z42" s="63"/>
      <c r="AA42" s="64"/>
    </row>
    <row r="43" spans="1:27">
      <c r="A43" s="57" t="s">
        <v>79</v>
      </c>
      <c r="B43" s="7">
        <v>9.0500000000000007</v>
      </c>
      <c r="C43" s="81">
        <f t="shared" si="2"/>
        <v>30.770000000000003</v>
      </c>
      <c r="D43" s="63"/>
      <c r="E43" s="64"/>
      <c r="F43" s="63"/>
      <c r="G43" s="64"/>
      <c r="H43" s="63"/>
      <c r="I43" s="64"/>
      <c r="J43" s="63"/>
      <c r="K43" s="64"/>
      <c r="L43" s="63"/>
      <c r="M43" s="64"/>
      <c r="N43" s="63"/>
      <c r="O43" s="64"/>
      <c r="P43" s="63"/>
      <c r="Q43" s="64"/>
      <c r="R43" s="63"/>
      <c r="S43" s="64"/>
      <c r="T43" s="63"/>
      <c r="U43" s="64"/>
      <c r="V43" s="63"/>
      <c r="W43" s="64"/>
      <c r="X43" s="63"/>
      <c r="Y43" s="64"/>
      <c r="Z43" s="63"/>
      <c r="AA43" s="64"/>
    </row>
    <row r="44" spans="1:27">
      <c r="A44" s="57" t="s">
        <v>80</v>
      </c>
      <c r="B44" s="7">
        <v>3.35</v>
      </c>
      <c r="C44" s="81">
        <f t="shared" si="2"/>
        <v>11.39</v>
      </c>
      <c r="D44" s="63"/>
      <c r="E44" s="64"/>
      <c r="F44" s="63"/>
      <c r="G44" s="64"/>
      <c r="H44" s="63"/>
      <c r="I44" s="64"/>
      <c r="J44" s="63"/>
      <c r="K44" s="64"/>
      <c r="L44" s="63"/>
      <c r="M44" s="64"/>
      <c r="N44" s="63"/>
      <c r="O44" s="64"/>
      <c r="P44" s="63"/>
      <c r="Q44" s="64"/>
      <c r="R44" s="63"/>
      <c r="S44" s="64"/>
      <c r="T44" s="63"/>
      <c r="U44" s="64"/>
      <c r="V44" s="63"/>
      <c r="W44" s="64"/>
      <c r="X44" s="63"/>
      <c r="Y44" s="64"/>
      <c r="Z44" s="63"/>
      <c r="AA44" s="64"/>
    </row>
    <row r="45" spans="1:27">
      <c r="A45" s="57" t="s">
        <v>82</v>
      </c>
      <c r="B45" s="7">
        <v>1.8</v>
      </c>
      <c r="C45" s="81">
        <f t="shared" si="2"/>
        <v>4.2300000000000004</v>
      </c>
      <c r="D45" s="63"/>
      <c r="E45" s="64"/>
      <c r="F45" s="63"/>
      <c r="G45" s="64"/>
      <c r="H45" s="63"/>
      <c r="I45" s="64"/>
      <c r="J45" s="63"/>
      <c r="K45" s="64"/>
      <c r="L45" s="78">
        <v>0.9</v>
      </c>
      <c r="M45" s="79">
        <v>2.1</v>
      </c>
      <c r="N45" s="63"/>
      <c r="O45" s="64"/>
      <c r="P45" s="63"/>
      <c r="Q45" s="64"/>
      <c r="R45" s="63"/>
      <c r="S45" s="64"/>
      <c r="T45" s="63"/>
      <c r="U45" s="64"/>
      <c r="V45" s="63"/>
      <c r="W45" s="64"/>
      <c r="X45" s="63"/>
      <c r="Y45" s="64"/>
      <c r="Z45" s="63"/>
      <c r="AA45" s="64"/>
    </row>
    <row r="46" spans="1:27">
      <c r="A46" s="57" t="s">
        <v>133</v>
      </c>
      <c r="B46" s="7">
        <v>1.8</v>
      </c>
      <c r="C46" s="81">
        <f t="shared" si="2"/>
        <v>4.2300000000000004</v>
      </c>
      <c r="D46" s="63"/>
      <c r="E46" s="64"/>
      <c r="F46" s="63"/>
      <c r="G46" s="64"/>
      <c r="H46" s="63"/>
      <c r="I46" s="64"/>
      <c r="J46" s="63"/>
      <c r="K46" s="64"/>
      <c r="L46" s="78">
        <v>0.9</v>
      </c>
      <c r="M46" s="79">
        <v>2.1</v>
      </c>
      <c r="N46" s="63"/>
      <c r="O46" s="64"/>
      <c r="P46" s="63"/>
      <c r="Q46" s="64"/>
      <c r="R46" s="63"/>
      <c r="S46" s="64"/>
      <c r="T46" s="63"/>
      <c r="U46" s="64"/>
      <c r="V46" s="63"/>
      <c r="W46" s="64"/>
      <c r="X46" s="63"/>
      <c r="Y46" s="64"/>
      <c r="Z46" s="63"/>
      <c r="AA46" s="64"/>
    </row>
    <row r="47" spans="1:27">
      <c r="A47" s="57" t="s">
        <v>134</v>
      </c>
      <c r="B47" s="7">
        <f>12.7-9.33</f>
        <v>3.3699999999999992</v>
      </c>
      <c r="C47" s="81">
        <f t="shared" si="2"/>
        <v>11.457999999999997</v>
      </c>
      <c r="D47" s="63"/>
      <c r="E47" s="64"/>
      <c r="F47" s="63"/>
      <c r="G47" s="64"/>
      <c r="H47" s="63"/>
      <c r="I47" s="64"/>
      <c r="J47" s="63"/>
      <c r="K47" s="64"/>
      <c r="L47" s="63"/>
      <c r="M47" s="64"/>
      <c r="N47" s="63"/>
      <c r="O47" s="64"/>
      <c r="P47" s="63"/>
      <c r="Q47" s="64"/>
      <c r="R47" s="63"/>
      <c r="S47" s="64"/>
      <c r="T47" s="63"/>
      <c r="U47" s="64"/>
      <c r="V47" s="63"/>
      <c r="W47" s="64"/>
      <c r="X47" s="63"/>
      <c r="Y47" s="64"/>
      <c r="Z47" s="63"/>
      <c r="AA47" s="64"/>
    </row>
    <row r="48" spans="1:27">
      <c r="A48" s="57" t="s">
        <v>135</v>
      </c>
      <c r="B48" s="7">
        <v>1.45</v>
      </c>
      <c r="C48" s="81">
        <f t="shared" si="2"/>
        <v>4.93</v>
      </c>
      <c r="D48" s="63"/>
      <c r="E48" s="64"/>
      <c r="F48" s="63"/>
      <c r="G48" s="64"/>
      <c r="H48" s="63"/>
      <c r="I48" s="64"/>
      <c r="J48" s="63"/>
      <c r="K48" s="64"/>
      <c r="L48" s="63"/>
      <c r="M48" s="64"/>
      <c r="N48" s="63"/>
      <c r="O48" s="64"/>
      <c r="P48" s="63"/>
      <c r="Q48" s="64"/>
      <c r="R48" s="63"/>
      <c r="S48" s="64"/>
      <c r="T48" s="63"/>
      <c r="U48" s="64"/>
      <c r="V48" s="63"/>
      <c r="W48" s="64"/>
      <c r="X48" s="63"/>
      <c r="Y48" s="64"/>
      <c r="Z48" s="63"/>
      <c r="AA48" s="64"/>
    </row>
    <row r="49" spans="1:27">
      <c r="A49" s="57" t="s">
        <v>137</v>
      </c>
      <c r="B49" s="7">
        <v>20.93</v>
      </c>
      <c r="C49" s="81">
        <f t="shared" si="2"/>
        <v>62.971999999999994</v>
      </c>
      <c r="D49" s="63"/>
      <c r="E49" s="64"/>
      <c r="F49" s="63"/>
      <c r="G49" s="64"/>
      <c r="H49" s="63"/>
      <c r="I49" s="64"/>
      <c r="J49" s="63"/>
      <c r="K49" s="64"/>
      <c r="L49" s="78">
        <v>0.9</v>
      </c>
      <c r="M49" s="79">
        <v>2.1</v>
      </c>
      <c r="N49" s="78">
        <v>0.9</v>
      </c>
      <c r="O49" s="79">
        <v>2.1</v>
      </c>
      <c r="P49" s="78">
        <v>2.1</v>
      </c>
      <c r="Q49" s="79">
        <v>2.1</v>
      </c>
      <c r="R49" s="63"/>
      <c r="S49" s="64"/>
      <c r="T49" s="63"/>
      <c r="U49" s="64"/>
      <c r="V49" s="63"/>
      <c r="W49" s="64"/>
      <c r="X49" s="63"/>
      <c r="Y49" s="64"/>
      <c r="Z49" s="63"/>
      <c r="AA49" s="64"/>
    </row>
    <row r="50" spans="1:27">
      <c r="A50" s="57" t="s">
        <v>140</v>
      </c>
      <c r="B50" s="7">
        <v>3.45</v>
      </c>
      <c r="C50" s="81">
        <f t="shared" ref="C50" si="3">(B50*$A$3)-((D50*E50)+(F50*G50)+(H50*I50)+(J50*K50)+(L50*M50)+(N50*O50)+(P50*Q50)+(R50*S50)+(T50*U50)+(V50*W50)+(X50*Y50)+(Z50*AA50))</f>
        <v>11.73</v>
      </c>
      <c r="D50" s="63"/>
      <c r="E50" s="64"/>
      <c r="F50" s="63"/>
      <c r="G50" s="64"/>
      <c r="H50" s="63"/>
      <c r="I50" s="64"/>
      <c r="J50" s="63"/>
      <c r="K50" s="64"/>
      <c r="L50" s="63"/>
      <c r="M50" s="64"/>
      <c r="N50" s="63"/>
      <c r="O50" s="64"/>
      <c r="P50" s="63"/>
      <c r="Q50" s="64"/>
      <c r="R50" s="63"/>
      <c r="S50" s="64"/>
      <c r="T50" s="63"/>
      <c r="U50" s="64"/>
      <c r="V50" s="63"/>
      <c r="W50" s="64"/>
      <c r="X50" s="63"/>
      <c r="Y50" s="64"/>
      <c r="Z50" s="63"/>
      <c r="AA50" s="64"/>
    </row>
    <row r="51" spans="1:27" hidden="1"/>
    <row r="52" spans="1:27" hidden="1"/>
    <row r="53" spans="1:27" hidden="1"/>
    <row r="54" spans="1:27" hidden="1"/>
    <row r="55" spans="1:27" hidden="1"/>
    <row r="56" spans="1:27" hidden="1"/>
    <row r="57" spans="1:27" hidden="1"/>
    <row r="58" spans="1:27" hidden="1"/>
    <row r="59" spans="1:27" hidden="1"/>
    <row r="60" spans="1:27" hidden="1"/>
    <row r="61" spans="1:27" hidden="1"/>
    <row r="62" spans="1:27" hidden="1"/>
    <row r="63" spans="1:27" hidden="1"/>
    <row r="64" spans="1:2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spans="1:3" hidden="1"/>
    <row r="82" spans="1:3" hidden="1"/>
    <row r="84" spans="1:3">
      <c r="A84" s="8" t="s">
        <v>83</v>
      </c>
      <c r="B84" s="155">
        <f>SUM(C5:C50)</f>
        <v>854.89</v>
      </c>
      <c r="C84" s="156"/>
    </row>
    <row r="85" spans="1:3" hidden="1">
      <c r="A85" s="5" t="s">
        <v>309</v>
      </c>
    </row>
  </sheetData>
  <mergeCells count="15">
    <mergeCell ref="A1:AA1"/>
    <mergeCell ref="V3:W3"/>
    <mergeCell ref="X3:Y3"/>
    <mergeCell ref="Z3:AA3"/>
    <mergeCell ref="B84:C8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338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3" t="s">
        <v>120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3" t="s">
        <v>119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3" t="s">
        <v>118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3" t="s">
        <v>83</v>
      </c>
      <c r="B11" s="155">
        <f>SUM(E3:E5)</f>
        <v>183.94</v>
      </c>
      <c r="C11" s="156"/>
    </row>
    <row r="12" spans="1:16" hidden="1">
      <c r="A12" s="5" t="s">
        <v>339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340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3" t="s">
        <v>120</v>
      </c>
      <c r="B3" s="6">
        <v>8.8000000000000007</v>
      </c>
      <c r="C3" s="6">
        <v>12.7</v>
      </c>
      <c r="D3" s="6">
        <f t="shared" ref="D3" si="0">2*(B3+C3)</f>
        <v>43</v>
      </c>
      <c r="E3" s="4">
        <f t="shared" ref="E3" si="1">B3*C3</f>
        <v>111.76</v>
      </c>
      <c r="I3" s="1"/>
      <c r="J3" s="1"/>
      <c r="K3" s="1"/>
      <c r="L3" s="1"/>
      <c r="M3" s="1"/>
      <c r="N3" s="1"/>
      <c r="O3" s="1"/>
      <c r="P3" s="1"/>
    </row>
    <row r="4" spans="1:16">
      <c r="A4" s="73" t="s">
        <v>119</v>
      </c>
      <c r="B4" s="9"/>
      <c r="C4" s="9"/>
      <c r="D4" s="6">
        <v>25.76</v>
      </c>
      <c r="E4" s="4">
        <v>35.11</v>
      </c>
      <c r="I4" s="1"/>
      <c r="J4" s="1"/>
      <c r="K4" s="1"/>
      <c r="L4" s="1"/>
      <c r="M4" s="1"/>
      <c r="N4" s="1"/>
      <c r="O4" s="1"/>
      <c r="P4" s="1"/>
    </row>
    <row r="5" spans="1:16">
      <c r="A5" s="73" t="s">
        <v>118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73" t="s">
        <v>83</v>
      </c>
      <c r="B11" s="155">
        <f>SUM(E3:E5)</f>
        <v>183.94</v>
      </c>
      <c r="C11" s="156"/>
    </row>
    <row r="12" spans="1:16" hidden="1">
      <c r="A12" s="5" t="s">
        <v>341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342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52" t="s">
        <v>121</v>
      </c>
      <c r="B3" s="9"/>
      <c r="C3" s="9"/>
      <c r="D3" s="6">
        <v>54.42</v>
      </c>
      <c r="E3" s="4">
        <v>153.79</v>
      </c>
      <c r="I3" s="1"/>
      <c r="J3" s="1"/>
      <c r="K3" s="1"/>
      <c r="L3" s="1"/>
      <c r="M3" s="1"/>
      <c r="N3" s="1"/>
      <c r="O3" s="1"/>
      <c r="P3" s="1"/>
    </row>
    <row r="4" spans="1:16">
      <c r="A4" s="52" t="s">
        <v>117</v>
      </c>
      <c r="B4" s="6">
        <v>1.95</v>
      </c>
      <c r="C4" s="6">
        <v>2.5</v>
      </c>
      <c r="D4" s="6">
        <f t="shared" ref="D4:D6" si="0">2*(B4+C4)</f>
        <v>8.9</v>
      </c>
      <c r="E4" s="4">
        <f t="shared" ref="E4:E6" si="1">B4*C4</f>
        <v>4.875</v>
      </c>
      <c r="I4" s="1"/>
      <c r="J4" s="1"/>
      <c r="M4" s="1"/>
      <c r="N4" s="1"/>
    </row>
    <row r="5" spans="1:16">
      <c r="A5" s="52" t="s">
        <v>117</v>
      </c>
      <c r="B5" s="6">
        <v>1.95</v>
      </c>
      <c r="C5" s="6">
        <v>2.5</v>
      </c>
      <c r="D5" s="6">
        <f t="shared" si="0"/>
        <v>8.9</v>
      </c>
      <c r="E5" s="4">
        <f t="shared" si="1"/>
        <v>4.875</v>
      </c>
      <c r="I5" s="1"/>
      <c r="J5" s="1"/>
      <c r="K5" s="1"/>
      <c r="L5" s="1"/>
      <c r="M5" s="1"/>
      <c r="N5" s="1"/>
      <c r="O5" s="1"/>
      <c r="P5" s="1"/>
    </row>
    <row r="6" spans="1:16">
      <c r="A6" s="52" t="s">
        <v>116</v>
      </c>
      <c r="B6" s="6">
        <v>1.95</v>
      </c>
      <c r="C6" s="6">
        <v>3.83</v>
      </c>
      <c r="D6" s="6">
        <f t="shared" si="0"/>
        <v>11.56</v>
      </c>
      <c r="E6" s="4">
        <f t="shared" si="1"/>
        <v>7.4684999999999997</v>
      </c>
      <c r="I6" s="1"/>
      <c r="J6" s="1"/>
      <c r="K6" s="1"/>
      <c r="L6" s="1"/>
      <c r="M6" s="1"/>
      <c r="N6" s="1"/>
      <c r="O6" s="1"/>
      <c r="P6" s="1"/>
    </row>
    <row r="7" spans="1:16">
      <c r="A7" s="52" t="s">
        <v>122</v>
      </c>
      <c r="B7" s="9"/>
      <c r="C7" s="9"/>
      <c r="D7" s="6">
        <v>20.239999999999998</v>
      </c>
      <c r="E7" s="4">
        <v>23.23</v>
      </c>
      <c r="I7" s="1"/>
      <c r="J7" s="1"/>
      <c r="K7" s="1"/>
      <c r="L7" s="1"/>
      <c r="M7" s="1"/>
      <c r="N7" s="1"/>
      <c r="O7" s="1"/>
      <c r="P7" s="1"/>
    </row>
    <row r="8" spans="1:16">
      <c r="A8" s="52" t="s">
        <v>123</v>
      </c>
      <c r="B8" s="9"/>
      <c r="C8" s="9"/>
      <c r="D8" s="6">
        <v>56.3</v>
      </c>
      <c r="E8" s="4">
        <v>158.36000000000001</v>
      </c>
      <c r="I8" s="1"/>
      <c r="J8" s="1"/>
      <c r="K8" s="1"/>
      <c r="L8" s="1"/>
      <c r="M8" s="1"/>
      <c r="N8" s="1"/>
      <c r="O8" s="1"/>
      <c r="P8" s="1"/>
    </row>
    <row r="9" spans="1:16">
      <c r="A9" s="52" t="s">
        <v>117</v>
      </c>
      <c r="B9" s="6">
        <v>2.35</v>
      </c>
      <c r="C9" s="6">
        <v>1.8</v>
      </c>
      <c r="D9" s="6">
        <f t="shared" ref="D9:D12" si="2">2*(B9+C9)</f>
        <v>8.3000000000000007</v>
      </c>
      <c r="E9" s="4">
        <f t="shared" ref="E9:E12" si="3">B9*C9</f>
        <v>4.2300000000000004</v>
      </c>
      <c r="I9" s="1"/>
      <c r="J9" s="1"/>
      <c r="K9" s="1"/>
      <c r="L9" s="1"/>
      <c r="M9" s="1"/>
      <c r="N9" s="1"/>
      <c r="O9" s="1"/>
      <c r="P9" s="1"/>
    </row>
    <row r="10" spans="1:16">
      <c r="A10" s="52" t="s">
        <v>117</v>
      </c>
      <c r="B10" s="6">
        <v>2.35</v>
      </c>
      <c r="C10" s="6">
        <v>1.8</v>
      </c>
      <c r="D10" s="6">
        <f t="shared" si="2"/>
        <v>8.3000000000000007</v>
      </c>
      <c r="E10" s="4">
        <f t="shared" si="3"/>
        <v>4.2300000000000004</v>
      </c>
      <c r="I10" s="1"/>
      <c r="J10" s="1"/>
      <c r="K10" s="1"/>
      <c r="L10" s="1"/>
      <c r="M10" s="1"/>
      <c r="N10" s="1"/>
      <c r="O10" s="1"/>
      <c r="P10" s="1"/>
    </row>
    <row r="11" spans="1:16">
      <c r="A11" s="52" t="s">
        <v>116</v>
      </c>
      <c r="B11" s="6">
        <v>1.9</v>
      </c>
      <c r="C11" s="6">
        <v>3.6</v>
      </c>
      <c r="D11" s="6">
        <f t="shared" si="2"/>
        <v>11</v>
      </c>
      <c r="E11" s="4">
        <f t="shared" si="3"/>
        <v>6.84</v>
      </c>
      <c r="I11" s="1"/>
      <c r="J11" s="1"/>
      <c r="K11" s="1"/>
      <c r="L11" s="1"/>
      <c r="M11" s="1"/>
      <c r="N11" s="1"/>
      <c r="O11" s="1"/>
      <c r="P11" s="1"/>
    </row>
    <row r="12" spans="1:16">
      <c r="A12" s="52" t="s">
        <v>112</v>
      </c>
      <c r="B12" s="6">
        <v>4.25</v>
      </c>
      <c r="C12" s="6">
        <v>2.0499999999999998</v>
      </c>
      <c r="D12" s="6">
        <f t="shared" si="2"/>
        <v>12.6</v>
      </c>
      <c r="E12" s="4">
        <f t="shared" si="3"/>
        <v>8.7124999999999986</v>
      </c>
      <c r="I12" s="1"/>
      <c r="J12" s="1"/>
      <c r="K12" s="1"/>
      <c r="L12" s="1"/>
      <c r="M12" s="1"/>
      <c r="N12" s="1"/>
      <c r="O12" s="1"/>
      <c r="P12" s="1"/>
    </row>
    <row r="13" spans="1:16">
      <c r="A13" s="52" t="s">
        <v>117</v>
      </c>
      <c r="B13" s="6">
        <v>2.35</v>
      </c>
      <c r="C13" s="6">
        <v>1.95</v>
      </c>
      <c r="D13" s="6">
        <f t="shared" ref="D13:D15" si="4">2*(B13+C13)</f>
        <v>8.6</v>
      </c>
      <c r="E13" s="4">
        <f t="shared" ref="E13:E15" si="5">B13*C13</f>
        <v>4.5825000000000005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52" t="s">
        <v>5</v>
      </c>
      <c r="B14" s="6">
        <v>1.6</v>
      </c>
      <c r="C14" s="6">
        <v>2.35</v>
      </c>
      <c r="D14" s="6">
        <f t="shared" si="4"/>
        <v>7.9</v>
      </c>
      <c r="E14" s="4">
        <f t="shared" si="5"/>
        <v>3.7600000000000002</v>
      </c>
      <c r="I14" s="1"/>
      <c r="J14" s="1"/>
      <c r="K14" s="1"/>
      <c r="L14" s="1"/>
      <c r="M14" s="1"/>
      <c r="N14" s="1"/>
      <c r="O14" s="1"/>
      <c r="P14" s="1"/>
    </row>
    <row r="15" spans="1:16">
      <c r="A15" s="52" t="s">
        <v>117</v>
      </c>
      <c r="B15" s="6">
        <v>1.8</v>
      </c>
      <c r="C15" s="6">
        <v>2.35</v>
      </c>
      <c r="D15" s="6">
        <f t="shared" si="4"/>
        <v>8.3000000000000007</v>
      </c>
      <c r="E15" s="4">
        <f t="shared" si="5"/>
        <v>4.2300000000000004</v>
      </c>
      <c r="I15" s="1"/>
      <c r="J15" s="1"/>
      <c r="K15" s="1"/>
      <c r="L15" s="1"/>
      <c r="M15" s="1"/>
      <c r="N15" s="1"/>
      <c r="O15" s="1"/>
      <c r="P15" s="1"/>
    </row>
    <row r="16" spans="1:16">
      <c r="A16" s="52" t="s">
        <v>124</v>
      </c>
      <c r="B16" s="9"/>
      <c r="C16" s="9"/>
      <c r="D16" s="6">
        <v>23.2</v>
      </c>
      <c r="E16" s="4">
        <v>24.47</v>
      </c>
      <c r="I16" s="1"/>
      <c r="J16" s="1"/>
      <c r="K16" s="1"/>
      <c r="L16" s="1"/>
      <c r="M16" s="1"/>
      <c r="N16" s="1"/>
      <c r="O16" s="1"/>
      <c r="P16" s="1"/>
    </row>
    <row r="17" spans="1:16">
      <c r="A17" s="52" t="s">
        <v>116</v>
      </c>
      <c r="B17" s="6">
        <v>2.17</v>
      </c>
      <c r="C17" s="6">
        <v>4.5</v>
      </c>
      <c r="D17" s="6">
        <f t="shared" ref="D17:D18" si="6">2*(B17+C17)</f>
        <v>13.34</v>
      </c>
      <c r="E17" s="4">
        <f t="shared" ref="E17:E18" si="7">B17*C17</f>
        <v>9.7650000000000006</v>
      </c>
      <c r="I17" s="1"/>
      <c r="J17" s="1"/>
      <c r="K17" s="1"/>
      <c r="L17" s="1"/>
      <c r="M17" s="1"/>
      <c r="N17" s="1"/>
      <c r="O17" s="1"/>
      <c r="P17" s="1"/>
    </row>
    <row r="18" spans="1:16">
      <c r="A18" s="52" t="s">
        <v>125</v>
      </c>
      <c r="B18" s="6">
        <v>7</v>
      </c>
      <c r="C18" s="6">
        <v>3.45</v>
      </c>
      <c r="D18" s="6">
        <f t="shared" si="6"/>
        <v>20.9</v>
      </c>
      <c r="E18" s="4">
        <f t="shared" si="7"/>
        <v>24.150000000000002</v>
      </c>
      <c r="I18" s="1"/>
      <c r="J18" s="1"/>
      <c r="K18" s="1"/>
      <c r="L18" s="1"/>
      <c r="M18" s="1"/>
      <c r="N18" s="1"/>
      <c r="O18" s="1"/>
      <c r="P18" s="1"/>
    </row>
    <row r="19" spans="1:16">
      <c r="A19" s="52" t="s">
        <v>4</v>
      </c>
      <c r="B19" s="9"/>
      <c r="C19" s="9"/>
      <c r="D19" s="6">
        <v>125.2</v>
      </c>
      <c r="E19" s="4">
        <v>132.88</v>
      </c>
      <c r="I19" s="1"/>
      <c r="J19" s="1"/>
      <c r="K19" s="1"/>
      <c r="L19" s="1"/>
      <c r="M19" s="1"/>
      <c r="N19" s="1"/>
      <c r="O19" s="1"/>
      <c r="P19" s="1"/>
    </row>
    <row r="20" spans="1:16">
      <c r="A20" s="52" t="s">
        <v>126</v>
      </c>
      <c r="B20" s="9"/>
      <c r="C20" s="9"/>
      <c r="D20" s="6">
        <v>17.71</v>
      </c>
      <c r="E20" s="4">
        <v>13.66</v>
      </c>
      <c r="I20" s="1"/>
      <c r="J20" s="1"/>
      <c r="K20" s="1"/>
      <c r="L20" s="1"/>
      <c r="M20" s="1"/>
      <c r="N20" s="1"/>
      <c r="O20" s="1"/>
      <c r="P20" s="1"/>
    </row>
    <row r="21" spans="1:16">
      <c r="A21" s="52" t="s">
        <v>117</v>
      </c>
      <c r="B21" s="6">
        <v>1.8</v>
      </c>
      <c r="C21" s="6">
        <v>1.8</v>
      </c>
      <c r="D21" s="6">
        <f t="shared" ref="D21" si="8">2*(B21+C21)</f>
        <v>7.2</v>
      </c>
      <c r="E21" s="4">
        <f t="shared" ref="E21" si="9">B21*C21</f>
        <v>3.24</v>
      </c>
      <c r="I21" s="1"/>
      <c r="J21" s="1"/>
      <c r="K21" s="1"/>
      <c r="L21" s="1"/>
      <c r="M21" s="1"/>
      <c r="N21" s="1"/>
      <c r="O21" s="1"/>
      <c r="P21" s="1"/>
    </row>
    <row r="22" spans="1:16">
      <c r="A22" s="52" t="s">
        <v>127</v>
      </c>
      <c r="B22" s="9"/>
      <c r="C22" s="9"/>
      <c r="D22" s="6">
        <v>17.71</v>
      </c>
      <c r="E22" s="4">
        <v>13.66</v>
      </c>
      <c r="I22" s="1"/>
      <c r="J22" s="1"/>
      <c r="K22" s="1"/>
      <c r="L22" s="1"/>
      <c r="M22" s="1"/>
      <c r="N22" s="1"/>
      <c r="O22" s="1"/>
      <c r="P22" s="1"/>
    </row>
    <row r="23" spans="1:16">
      <c r="A23" s="52" t="s">
        <v>117</v>
      </c>
      <c r="B23" s="6">
        <v>1.8</v>
      </c>
      <c r="C23" s="6">
        <v>1.8</v>
      </c>
      <c r="D23" s="6">
        <f t="shared" ref="D23" si="10">2*(B23+C23)</f>
        <v>7.2</v>
      </c>
      <c r="E23" s="4">
        <f t="shared" ref="E23" si="11">B23*C23</f>
        <v>3.24</v>
      </c>
      <c r="I23" s="1"/>
      <c r="J23" s="1"/>
      <c r="K23" s="1"/>
      <c r="L23" s="1"/>
      <c r="M23" s="1"/>
      <c r="N23" s="1"/>
      <c r="O23" s="1"/>
      <c r="P23" s="1"/>
    </row>
    <row r="24" spans="1:16">
      <c r="A24" s="52" t="s">
        <v>128</v>
      </c>
      <c r="B24" s="9"/>
      <c r="C24" s="9"/>
      <c r="D24" s="6">
        <v>58.94</v>
      </c>
      <c r="E24" s="4">
        <v>159.72999999999999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52" t="s">
        <v>129</v>
      </c>
      <c r="B25" s="6">
        <v>4.55</v>
      </c>
      <c r="C25" s="6">
        <v>2.75</v>
      </c>
      <c r="D25" s="6">
        <f t="shared" ref="D25:D32" si="12">2*(B25+C25)</f>
        <v>14.6</v>
      </c>
      <c r="E25" s="4">
        <f t="shared" ref="E25:E32" si="13">B25*C25</f>
        <v>12.512499999999999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52" t="s">
        <v>117</v>
      </c>
      <c r="B26" s="6">
        <v>2.8</v>
      </c>
      <c r="C26" s="6">
        <v>1.8</v>
      </c>
      <c r="D26" s="6">
        <f t="shared" si="12"/>
        <v>9.1999999999999993</v>
      </c>
      <c r="E26" s="4">
        <f t="shared" si="13"/>
        <v>5.04</v>
      </c>
      <c r="I26" s="1"/>
      <c r="J26" s="1"/>
      <c r="K26" s="1"/>
      <c r="L26" s="1"/>
      <c r="M26" s="1"/>
      <c r="N26" s="1"/>
      <c r="O26" s="1"/>
      <c r="P26" s="1"/>
    </row>
    <row r="27" spans="1:16">
      <c r="A27" s="52" t="s">
        <v>117</v>
      </c>
      <c r="B27" s="6">
        <v>2.8</v>
      </c>
      <c r="C27" s="6">
        <v>1.8</v>
      </c>
      <c r="D27" s="6">
        <f t="shared" si="12"/>
        <v>9.1999999999999993</v>
      </c>
      <c r="E27" s="4">
        <f t="shared" si="13"/>
        <v>5.04</v>
      </c>
      <c r="I27" s="1"/>
      <c r="J27" s="1"/>
      <c r="K27" s="1"/>
      <c r="L27" s="1"/>
      <c r="M27" s="1"/>
      <c r="N27" s="1"/>
      <c r="O27" s="1"/>
      <c r="P27" s="1"/>
    </row>
    <row r="28" spans="1:16">
      <c r="A28" s="52" t="s">
        <v>113</v>
      </c>
      <c r="B28" s="6">
        <v>1.6</v>
      </c>
      <c r="C28" s="6">
        <v>3.75</v>
      </c>
      <c r="D28" s="6">
        <f t="shared" si="12"/>
        <v>10.7</v>
      </c>
      <c r="E28" s="4">
        <f t="shared" si="13"/>
        <v>6</v>
      </c>
      <c r="I28" s="1"/>
      <c r="J28" s="1"/>
      <c r="K28" s="1"/>
      <c r="L28" s="1"/>
      <c r="M28" s="1"/>
      <c r="N28" s="1"/>
      <c r="O28" s="1"/>
      <c r="P28" s="1"/>
    </row>
    <row r="29" spans="1:16">
      <c r="A29" s="52" t="s">
        <v>115</v>
      </c>
      <c r="B29" s="6">
        <v>5.0999999999999996</v>
      </c>
      <c r="C29" s="6">
        <v>4.0199999999999996</v>
      </c>
      <c r="D29" s="6">
        <f t="shared" si="12"/>
        <v>18.239999999999998</v>
      </c>
      <c r="E29" s="4">
        <f t="shared" si="13"/>
        <v>20.501999999999995</v>
      </c>
      <c r="I29" s="1"/>
      <c r="J29" s="1"/>
      <c r="K29" s="1"/>
      <c r="L29" s="1"/>
      <c r="M29" s="1"/>
      <c r="N29" s="1"/>
      <c r="O29" s="1"/>
      <c r="P29" s="1"/>
    </row>
    <row r="30" spans="1:16">
      <c r="A30" s="52" t="s">
        <v>111</v>
      </c>
      <c r="B30" s="6">
        <v>1.85</v>
      </c>
      <c r="C30" s="6">
        <v>4.5</v>
      </c>
      <c r="D30" s="6">
        <f t="shared" si="12"/>
        <v>12.7</v>
      </c>
      <c r="E30" s="4">
        <f t="shared" si="13"/>
        <v>8.3250000000000011</v>
      </c>
      <c r="I30" s="1"/>
      <c r="J30" s="1"/>
      <c r="K30" s="1"/>
      <c r="L30" s="1"/>
      <c r="M30" s="1"/>
      <c r="N30" s="1"/>
      <c r="O30" s="1"/>
      <c r="P30" s="1"/>
    </row>
    <row r="31" spans="1:16">
      <c r="A31" s="52" t="s">
        <v>117</v>
      </c>
      <c r="B31" s="6">
        <v>2</v>
      </c>
      <c r="C31" s="6">
        <v>3.35</v>
      </c>
      <c r="D31" s="6">
        <f t="shared" si="12"/>
        <v>10.7</v>
      </c>
      <c r="E31" s="4">
        <f t="shared" si="13"/>
        <v>6.7</v>
      </c>
      <c r="I31" s="1"/>
      <c r="J31" s="1"/>
      <c r="K31" s="1"/>
      <c r="L31" s="1"/>
      <c r="M31" s="1"/>
      <c r="N31" s="1"/>
      <c r="O31" s="1"/>
      <c r="P31" s="1"/>
    </row>
    <row r="32" spans="1:16">
      <c r="A32" s="52" t="s">
        <v>117</v>
      </c>
      <c r="B32" s="6">
        <v>2</v>
      </c>
      <c r="C32" s="6">
        <v>3.35</v>
      </c>
      <c r="D32" s="6">
        <f t="shared" si="12"/>
        <v>10.7</v>
      </c>
      <c r="E32" s="4">
        <f t="shared" si="13"/>
        <v>6.7</v>
      </c>
      <c r="I32" s="1"/>
      <c r="J32" s="1"/>
      <c r="K32" s="1"/>
      <c r="L32" s="1"/>
      <c r="M32" s="1"/>
      <c r="N32" s="1"/>
      <c r="O32" s="1"/>
      <c r="P32" s="1"/>
    </row>
    <row r="33" spans="1:16">
      <c r="A33" s="52" t="s">
        <v>130</v>
      </c>
      <c r="B33" s="9"/>
      <c r="C33" s="9"/>
      <c r="D33" s="6">
        <v>60.44</v>
      </c>
      <c r="E33" s="4">
        <v>149.12</v>
      </c>
      <c r="I33" s="1"/>
      <c r="J33" s="1"/>
      <c r="K33" s="1"/>
      <c r="L33" s="1"/>
      <c r="M33" s="1"/>
      <c r="N33" s="1"/>
      <c r="O33" s="1"/>
      <c r="P33" s="1"/>
    </row>
    <row r="34" spans="1:16" hidden="1"/>
    <row r="35" spans="1:16" hidden="1"/>
    <row r="36" spans="1:16" hidden="1"/>
    <row r="37" spans="1:16" hidden="1"/>
    <row r="38" spans="1:16" hidden="1"/>
    <row r="39" spans="1:16" hidden="1"/>
    <row r="40" spans="1:16" hidden="1"/>
    <row r="41" spans="1:16" hidden="1"/>
    <row r="42" spans="1:16" hidden="1"/>
    <row r="43" spans="1:16" hidden="1"/>
    <row r="44" spans="1:16" hidden="1"/>
    <row r="45" spans="1:16" hidden="1"/>
    <row r="46" spans="1:16" hidden="1"/>
    <row r="47" spans="1:16" hidden="1"/>
    <row r="48" spans="1:16" hidden="1"/>
    <row r="49" spans="1:3" hidden="1"/>
    <row r="52" spans="1:3">
      <c r="A52" s="52" t="s">
        <v>83</v>
      </c>
      <c r="B52" s="155">
        <f>SUM(E3:E33)</f>
        <v>993.91800000000001</v>
      </c>
      <c r="C52" s="156"/>
    </row>
    <row r="53" spans="1:3" hidden="1">
      <c r="A53" s="5" t="s">
        <v>343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89" orientation="landscape" r:id="rId1"/>
  <headerFooter>
    <oddHeader>&amp;A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344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3" t="s">
        <v>121</v>
      </c>
      <c r="B3" s="9"/>
      <c r="C3" s="9"/>
      <c r="D3" s="6">
        <v>54.42</v>
      </c>
      <c r="E3" s="4">
        <v>153.79</v>
      </c>
      <c r="I3" s="1"/>
      <c r="J3" s="1"/>
      <c r="K3" s="1"/>
      <c r="L3" s="1"/>
      <c r="M3" s="1"/>
      <c r="N3" s="1"/>
      <c r="O3" s="1"/>
      <c r="P3" s="1"/>
    </row>
    <row r="4" spans="1:16">
      <c r="A4" s="73" t="s">
        <v>117</v>
      </c>
      <c r="B4" s="6">
        <v>1.95</v>
      </c>
      <c r="C4" s="6">
        <v>2.5</v>
      </c>
      <c r="D4" s="6">
        <f t="shared" ref="D4:D6" si="0">2*(B4+C4)</f>
        <v>8.9</v>
      </c>
      <c r="E4" s="4">
        <f t="shared" ref="E4:E6" si="1">B4*C4</f>
        <v>4.875</v>
      </c>
      <c r="I4" s="1"/>
      <c r="J4" s="1"/>
      <c r="M4" s="1"/>
      <c r="N4" s="1"/>
    </row>
    <row r="5" spans="1:16">
      <c r="A5" s="73" t="s">
        <v>117</v>
      </c>
      <c r="B5" s="6">
        <v>1.95</v>
      </c>
      <c r="C5" s="6">
        <v>2.5</v>
      </c>
      <c r="D5" s="6">
        <f t="shared" si="0"/>
        <v>8.9</v>
      </c>
      <c r="E5" s="4">
        <f t="shared" si="1"/>
        <v>4.875</v>
      </c>
      <c r="I5" s="1"/>
      <c r="J5" s="1"/>
      <c r="K5" s="1"/>
      <c r="L5" s="1"/>
      <c r="M5" s="1"/>
      <c r="N5" s="1"/>
      <c r="O5" s="1"/>
      <c r="P5" s="1"/>
    </row>
    <row r="6" spans="1:16">
      <c r="A6" s="73" t="s">
        <v>116</v>
      </c>
      <c r="B6" s="6">
        <v>1.95</v>
      </c>
      <c r="C6" s="6">
        <v>3.83</v>
      </c>
      <c r="D6" s="6">
        <f t="shared" si="0"/>
        <v>11.56</v>
      </c>
      <c r="E6" s="4">
        <f t="shared" si="1"/>
        <v>7.4684999999999997</v>
      </c>
      <c r="I6" s="1"/>
      <c r="J6" s="1"/>
      <c r="K6" s="1"/>
      <c r="L6" s="1"/>
      <c r="M6" s="1"/>
      <c r="N6" s="1"/>
      <c r="O6" s="1"/>
      <c r="P6" s="1"/>
    </row>
    <row r="7" spans="1:16">
      <c r="A7" s="73" t="s">
        <v>122</v>
      </c>
      <c r="B7" s="9"/>
      <c r="C7" s="9"/>
      <c r="D7" s="6">
        <v>20.239999999999998</v>
      </c>
      <c r="E7" s="4">
        <v>23.23</v>
      </c>
      <c r="I7" s="1"/>
      <c r="J7" s="1"/>
      <c r="K7" s="1"/>
      <c r="L7" s="1"/>
      <c r="M7" s="1"/>
      <c r="N7" s="1"/>
      <c r="O7" s="1"/>
      <c r="P7" s="1"/>
    </row>
    <row r="8" spans="1:16">
      <c r="A8" s="73" t="s">
        <v>123</v>
      </c>
      <c r="B8" s="9"/>
      <c r="C8" s="9"/>
      <c r="D8" s="6">
        <v>56.3</v>
      </c>
      <c r="E8" s="4">
        <v>158.36000000000001</v>
      </c>
      <c r="I8" s="1"/>
      <c r="J8" s="1"/>
      <c r="K8" s="1"/>
      <c r="L8" s="1"/>
      <c r="M8" s="1"/>
      <c r="N8" s="1"/>
      <c r="O8" s="1"/>
      <c r="P8" s="1"/>
    </row>
    <row r="9" spans="1:16">
      <c r="A9" s="73" t="s">
        <v>117</v>
      </c>
      <c r="B9" s="6">
        <v>2.35</v>
      </c>
      <c r="C9" s="6">
        <v>1.8</v>
      </c>
      <c r="D9" s="6">
        <f t="shared" ref="D9:D15" si="2">2*(B9+C9)</f>
        <v>8.3000000000000007</v>
      </c>
      <c r="E9" s="4">
        <f t="shared" ref="E9:E15" si="3">B9*C9</f>
        <v>4.2300000000000004</v>
      </c>
      <c r="I9" s="1"/>
      <c r="J9" s="1"/>
      <c r="K9" s="1"/>
      <c r="L9" s="1"/>
      <c r="M9" s="1"/>
      <c r="N9" s="1"/>
      <c r="O9" s="1"/>
      <c r="P9" s="1"/>
    </row>
    <row r="10" spans="1:16">
      <c r="A10" s="73" t="s">
        <v>117</v>
      </c>
      <c r="B10" s="6">
        <v>2.35</v>
      </c>
      <c r="C10" s="6">
        <v>1.8</v>
      </c>
      <c r="D10" s="6">
        <f t="shared" si="2"/>
        <v>8.3000000000000007</v>
      </c>
      <c r="E10" s="4">
        <f t="shared" si="3"/>
        <v>4.2300000000000004</v>
      </c>
      <c r="I10" s="1"/>
      <c r="J10" s="1"/>
      <c r="K10" s="1"/>
      <c r="L10" s="1"/>
      <c r="M10" s="1"/>
      <c r="N10" s="1"/>
      <c r="O10" s="1"/>
      <c r="P10" s="1"/>
    </row>
    <row r="11" spans="1:16">
      <c r="A11" s="73" t="s">
        <v>116</v>
      </c>
      <c r="B11" s="6">
        <v>1.9</v>
      </c>
      <c r="C11" s="6">
        <v>3.6</v>
      </c>
      <c r="D11" s="6">
        <f t="shared" si="2"/>
        <v>11</v>
      </c>
      <c r="E11" s="4">
        <f t="shared" si="3"/>
        <v>6.84</v>
      </c>
      <c r="I11" s="1"/>
      <c r="J11" s="1"/>
      <c r="K11" s="1"/>
      <c r="L11" s="1"/>
      <c r="M11" s="1"/>
      <c r="N11" s="1"/>
      <c r="O11" s="1"/>
      <c r="P11" s="1"/>
    </row>
    <row r="12" spans="1:16">
      <c r="A12" s="73" t="s">
        <v>112</v>
      </c>
      <c r="B12" s="6">
        <v>4.25</v>
      </c>
      <c r="C12" s="6">
        <v>2.0499999999999998</v>
      </c>
      <c r="D12" s="6">
        <f t="shared" si="2"/>
        <v>12.6</v>
      </c>
      <c r="E12" s="4">
        <f t="shared" si="3"/>
        <v>8.7124999999999986</v>
      </c>
      <c r="I12" s="1"/>
      <c r="J12" s="1"/>
      <c r="K12" s="1"/>
      <c r="L12" s="1"/>
      <c r="M12" s="1"/>
      <c r="N12" s="1"/>
      <c r="O12" s="1"/>
      <c r="P12" s="1"/>
    </row>
    <row r="13" spans="1:16">
      <c r="A13" s="73" t="s">
        <v>117</v>
      </c>
      <c r="B13" s="6">
        <v>2.35</v>
      </c>
      <c r="C13" s="6">
        <v>1.95</v>
      </c>
      <c r="D13" s="6">
        <f t="shared" si="2"/>
        <v>8.6</v>
      </c>
      <c r="E13" s="4">
        <f t="shared" si="3"/>
        <v>4.5825000000000005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73" t="s">
        <v>5</v>
      </c>
      <c r="B14" s="6">
        <v>1.6</v>
      </c>
      <c r="C14" s="6">
        <v>2.35</v>
      </c>
      <c r="D14" s="6">
        <f t="shared" si="2"/>
        <v>7.9</v>
      </c>
      <c r="E14" s="4">
        <f t="shared" si="3"/>
        <v>3.7600000000000002</v>
      </c>
      <c r="I14" s="1"/>
      <c r="J14" s="1"/>
      <c r="K14" s="1"/>
      <c r="L14" s="1"/>
      <c r="M14" s="1"/>
      <c r="N14" s="1"/>
      <c r="O14" s="1"/>
      <c r="P14" s="1"/>
    </row>
    <row r="15" spans="1:16">
      <c r="A15" s="73" t="s">
        <v>117</v>
      </c>
      <c r="B15" s="6">
        <v>1.8</v>
      </c>
      <c r="C15" s="6">
        <v>2.35</v>
      </c>
      <c r="D15" s="6">
        <f t="shared" si="2"/>
        <v>8.3000000000000007</v>
      </c>
      <c r="E15" s="4">
        <f t="shared" si="3"/>
        <v>4.2300000000000004</v>
      </c>
      <c r="I15" s="1"/>
      <c r="J15" s="1"/>
      <c r="K15" s="1"/>
      <c r="L15" s="1"/>
      <c r="M15" s="1"/>
      <c r="N15" s="1"/>
      <c r="O15" s="1"/>
      <c r="P15" s="1"/>
    </row>
    <row r="16" spans="1:16">
      <c r="A16" s="73" t="s">
        <v>124</v>
      </c>
      <c r="B16" s="9"/>
      <c r="C16" s="9"/>
      <c r="D16" s="6">
        <v>23.2</v>
      </c>
      <c r="E16" s="4">
        <v>24.47</v>
      </c>
      <c r="I16" s="1"/>
      <c r="J16" s="1"/>
      <c r="K16" s="1"/>
      <c r="L16" s="1"/>
      <c r="M16" s="1"/>
      <c r="N16" s="1"/>
      <c r="O16" s="1"/>
      <c r="P16" s="1"/>
    </row>
    <row r="17" spans="1:16">
      <c r="A17" s="73" t="s">
        <v>116</v>
      </c>
      <c r="B17" s="6">
        <v>2.17</v>
      </c>
      <c r="C17" s="6">
        <v>4.5</v>
      </c>
      <c r="D17" s="6">
        <f t="shared" ref="D17:D18" si="4">2*(B17+C17)</f>
        <v>13.34</v>
      </c>
      <c r="E17" s="4">
        <f t="shared" ref="E17:E18" si="5">B17*C17</f>
        <v>9.7650000000000006</v>
      </c>
      <c r="I17" s="1"/>
      <c r="J17" s="1"/>
      <c r="K17" s="1"/>
      <c r="L17" s="1"/>
      <c r="M17" s="1"/>
      <c r="N17" s="1"/>
      <c r="O17" s="1"/>
      <c r="P17" s="1"/>
    </row>
    <row r="18" spans="1:16">
      <c r="A18" s="73" t="s">
        <v>125</v>
      </c>
      <c r="B18" s="6">
        <v>7</v>
      </c>
      <c r="C18" s="6">
        <v>3.45</v>
      </c>
      <c r="D18" s="6">
        <f t="shared" si="4"/>
        <v>20.9</v>
      </c>
      <c r="E18" s="4">
        <f t="shared" si="5"/>
        <v>24.150000000000002</v>
      </c>
      <c r="I18" s="1"/>
      <c r="J18" s="1"/>
      <c r="K18" s="1"/>
      <c r="L18" s="1"/>
      <c r="M18" s="1"/>
      <c r="N18" s="1"/>
      <c r="O18" s="1"/>
      <c r="P18" s="1"/>
    </row>
    <row r="19" spans="1:16">
      <c r="A19" s="73" t="s">
        <v>4</v>
      </c>
      <c r="B19" s="9"/>
      <c r="C19" s="9"/>
      <c r="D19" s="6">
        <v>125.2</v>
      </c>
      <c r="E19" s="4">
        <v>132.88</v>
      </c>
      <c r="I19" s="1"/>
      <c r="J19" s="1"/>
      <c r="K19" s="1"/>
      <c r="L19" s="1"/>
      <c r="M19" s="1"/>
      <c r="N19" s="1"/>
      <c r="O19" s="1"/>
      <c r="P19" s="1"/>
    </row>
    <row r="20" spans="1:16">
      <c r="A20" s="73" t="s">
        <v>126</v>
      </c>
      <c r="B20" s="9"/>
      <c r="C20" s="9"/>
      <c r="D20" s="6">
        <v>17.71</v>
      </c>
      <c r="E20" s="4">
        <v>13.66</v>
      </c>
      <c r="I20" s="1"/>
      <c r="J20" s="1"/>
      <c r="K20" s="1"/>
      <c r="L20" s="1"/>
      <c r="M20" s="1"/>
      <c r="N20" s="1"/>
      <c r="O20" s="1"/>
      <c r="P20" s="1"/>
    </row>
    <row r="21" spans="1:16">
      <c r="A21" s="73" t="s">
        <v>117</v>
      </c>
      <c r="B21" s="6">
        <v>1.8</v>
      </c>
      <c r="C21" s="6">
        <v>1.8</v>
      </c>
      <c r="D21" s="6">
        <f t="shared" ref="D21" si="6">2*(B21+C21)</f>
        <v>7.2</v>
      </c>
      <c r="E21" s="4">
        <f t="shared" ref="E21" si="7">B21*C21</f>
        <v>3.24</v>
      </c>
      <c r="I21" s="1"/>
      <c r="J21" s="1"/>
      <c r="K21" s="1"/>
      <c r="L21" s="1"/>
      <c r="M21" s="1"/>
      <c r="N21" s="1"/>
      <c r="O21" s="1"/>
      <c r="P21" s="1"/>
    </row>
    <row r="22" spans="1:16">
      <c r="A22" s="73" t="s">
        <v>127</v>
      </c>
      <c r="B22" s="9"/>
      <c r="C22" s="9"/>
      <c r="D22" s="6">
        <v>17.71</v>
      </c>
      <c r="E22" s="4">
        <v>13.66</v>
      </c>
      <c r="I22" s="1"/>
      <c r="J22" s="1"/>
      <c r="K22" s="1"/>
      <c r="L22" s="1"/>
      <c r="M22" s="1"/>
      <c r="N22" s="1"/>
      <c r="O22" s="1"/>
      <c r="P22" s="1"/>
    </row>
    <row r="23" spans="1:16">
      <c r="A23" s="73" t="s">
        <v>117</v>
      </c>
      <c r="B23" s="6">
        <v>1.8</v>
      </c>
      <c r="C23" s="6">
        <v>1.8</v>
      </c>
      <c r="D23" s="6">
        <f t="shared" ref="D23" si="8">2*(B23+C23)</f>
        <v>7.2</v>
      </c>
      <c r="E23" s="4">
        <f t="shared" ref="E23" si="9">B23*C23</f>
        <v>3.24</v>
      </c>
      <c r="I23" s="1"/>
      <c r="J23" s="1"/>
      <c r="K23" s="1"/>
      <c r="L23" s="1"/>
      <c r="M23" s="1"/>
      <c r="N23" s="1"/>
      <c r="O23" s="1"/>
      <c r="P23" s="1"/>
    </row>
    <row r="24" spans="1:16">
      <c r="A24" s="73" t="s">
        <v>128</v>
      </c>
      <c r="B24" s="9"/>
      <c r="C24" s="9"/>
      <c r="D24" s="6">
        <v>58.94</v>
      </c>
      <c r="E24" s="4">
        <v>159.72999999999999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73" t="s">
        <v>129</v>
      </c>
      <c r="B25" s="6">
        <v>4.55</v>
      </c>
      <c r="C25" s="6">
        <v>2.75</v>
      </c>
      <c r="D25" s="6">
        <f t="shared" ref="D25:D32" si="10">2*(B25+C25)</f>
        <v>14.6</v>
      </c>
      <c r="E25" s="4">
        <f t="shared" ref="E25:E32" si="11">B25*C25</f>
        <v>12.512499999999999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73" t="s">
        <v>117</v>
      </c>
      <c r="B26" s="6">
        <v>2.8</v>
      </c>
      <c r="C26" s="6">
        <v>1.8</v>
      </c>
      <c r="D26" s="6">
        <f t="shared" si="10"/>
        <v>9.1999999999999993</v>
      </c>
      <c r="E26" s="4">
        <f t="shared" si="11"/>
        <v>5.04</v>
      </c>
      <c r="I26" s="1"/>
      <c r="J26" s="1"/>
      <c r="K26" s="1"/>
      <c r="L26" s="1"/>
      <c r="M26" s="1"/>
      <c r="N26" s="1"/>
      <c r="O26" s="1"/>
      <c r="P26" s="1"/>
    </row>
    <row r="27" spans="1:16">
      <c r="A27" s="73" t="s">
        <v>117</v>
      </c>
      <c r="B27" s="6">
        <v>2.8</v>
      </c>
      <c r="C27" s="6">
        <v>1.8</v>
      </c>
      <c r="D27" s="6">
        <f t="shared" si="10"/>
        <v>9.1999999999999993</v>
      </c>
      <c r="E27" s="4">
        <f t="shared" si="11"/>
        <v>5.04</v>
      </c>
      <c r="I27" s="1"/>
      <c r="J27" s="1"/>
      <c r="K27" s="1"/>
      <c r="L27" s="1"/>
      <c r="M27" s="1"/>
      <c r="N27" s="1"/>
      <c r="O27" s="1"/>
      <c r="P27" s="1"/>
    </row>
    <row r="28" spans="1:16">
      <c r="A28" s="73" t="s">
        <v>113</v>
      </c>
      <c r="B28" s="6">
        <v>1.6</v>
      </c>
      <c r="C28" s="6">
        <v>3.75</v>
      </c>
      <c r="D28" s="6">
        <f t="shared" si="10"/>
        <v>10.7</v>
      </c>
      <c r="E28" s="4">
        <f t="shared" si="11"/>
        <v>6</v>
      </c>
      <c r="I28" s="1"/>
      <c r="J28" s="1"/>
      <c r="K28" s="1"/>
      <c r="L28" s="1"/>
      <c r="M28" s="1"/>
      <c r="N28" s="1"/>
      <c r="O28" s="1"/>
      <c r="P28" s="1"/>
    </row>
    <row r="29" spans="1:16">
      <c r="A29" s="73" t="s">
        <v>115</v>
      </c>
      <c r="B29" s="6">
        <v>5.0999999999999996</v>
      </c>
      <c r="C29" s="6">
        <v>4.0199999999999996</v>
      </c>
      <c r="D29" s="6">
        <f t="shared" si="10"/>
        <v>18.239999999999998</v>
      </c>
      <c r="E29" s="4">
        <f t="shared" si="11"/>
        <v>20.501999999999995</v>
      </c>
      <c r="I29" s="1"/>
      <c r="J29" s="1"/>
      <c r="K29" s="1"/>
      <c r="L29" s="1"/>
      <c r="M29" s="1"/>
      <c r="N29" s="1"/>
      <c r="O29" s="1"/>
      <c r="P29" s="1"/>
    </row>
    <row r="30" spans="1:16">
      <c r="A30" s="73" t="s">
        <v>111</v>
      </c>
      <c r="B30" s="6">
        <v>1.85</v>
      </c>
      <c r="C30" s="6">
        <v>4.5</v>
      </c>
      <c r="D30" s="6">
        <f t="shared" si="10"/>
        <v>12.7</v>
      </c>
      <c r="E30" s="4">
        <f t="shared" si="11"/>
        <v>8.3250000000000011</v>
      </c>
      <c r="I30" s="1"/>
      <c r="J30" s="1"/>
      <c r="K30" s="1"/>
      <c r="L30" s="1"/>
      <c r="M30" s="1"/>
      <c r="N30" s="1"/>
      <c r="O30" s="1"/>
      <c r="P30" s="1"/>
    </row>
    <row r="31" spans="1:16">
      <c r="A31" s="73" t="s">
        <v>117</v>
      </c>
      <c r="B31" s="6">
        <v>2</v>
      </c>
      <c r="C31" s="6">
        <v>3.35</v>
      </c>
      <c r="D31" s="6">
        <f t="shared" si="10"/>
        <v>10.7</v>
      </c>
      <c r="E31" s="4">
        <f t="shared" si="11"/>
        <v>6.7</v>
      </c>
      <c r="I31" s="1"/>
      <c r="J31" s="1"/>
      <c r="K31" s="1"/>
      <c r="L31" s="1"/>
      <c r="M31" s="1"/>
      <c r="N31" s="1"/>
      <c r="O31" s="1"/>
      <c r="P31" s="1"/>
    </row>
    <row r="32" spans="1:16">
      <c r="A32" s="73" t="s">
        <v>117</v>
      </c>
      <c r="B32" s="6">
        <v>2</v>
      </c>
      <c r="C32" s="6">
        <v>3.35</v>
      </c>
      <c r="D32" s="6">
        <f t="shared" si="10"/>
        <v>10.7</v>
      </c>
      <c r="E32" s="4">
        <f t="shared" si="11"/>
        <v>6.7</v>
      </c>
      <c r="I32" s="1"/>
      <c r="J32" s="1"/>
      <c r="K32" s="1"/>
      <c r="L32" s="1"/>
      <c r="M32" s="1"/>
      <c r="N32" s="1"/>
      <c r="O32" s="1"/>
      <c r="P32" s="1"/>
    </row>
    <row r="33" spans="1:16">
      <c r="A33" s="73" t="s">
        <v>130</v>
      </c>
      <c r="B33" s="9"/>
      <c r="C33" s="9"/>
      <c r="D33" s="6">
        <v>60.44</v>
      </c>
      <c r="E33" s="4">
        <v>149.12</v>
      </c>
      <c r="I33" s="1"/>
      <c r="J33" s="1"/>
      <c r="K33" s="1"/>
      <c r="L33" s="1"/>
      <c r="M33" s="1"/>
      <c r="N33" s="1"/>
      <c r="O33" s="1"/>
      <c r="P33" s="1"/>
    </row>
    <row r="34" spans="1:16" hidden="1"/>
    <row r="35" spans="1:16" hidden="1"/>
    <row r="36" spans="1:16" hidden="1"/>
    <row r="37" spans="1:16" hidden="1"/>
    <row r="38" spans="1:16" hidden="1"/>
    <row r="39" spans="1:16" hidden="1"/>
    <row r="40" spans="1:16" hidden="1"/>
    <row r="41" spans="1:16" hidden="1"/>
    <row r="42" spans="1:16" hidden="1"/>
    <row r="43" spans="1:16" hidden="1"/>
    <row r="44" spans="1:16" hidden="1"/>
    <row r="45" spans="1:16" hidden="1"/>
    <row r="46" spans="1:16" hidden="1"/>
    <row r="47" spans="1:16" hidden="1"/>
    <row r="48" spans="1:16" hidden="1"/>
    <row r="52" spans="1:3">
      <c r="A52" s="73" t="s">
        <v>83</v>
      </c>
      <c r="B52" s="155">
        <f>SUM(E3:E33)</f>
        <v>993.91800000000001</v>
      </c>
      <c r="C52" s="156"/>
    </row>
    <row r="53" spans="1:3" hidden="1">
      <c r="A53" s="5" t="s">
        <v>337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Header>&amp;A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3"/>
  <sheetViews>
    <sheetView zoomScale="85" zoomScaleNormal="85" workbookViewId="0">
      <pane ySplit="2" topLeftCell="A3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345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73" t="s">
        <v>121</v>
      </c>
      <c r="B3" s="9"/>
      <c r="C3" s="9"/>
      <c r="D3" s="6">
        <v>54.42</v>
      </c>
      <c r="E3" s="4">
        <v>153.79</v>
      </c>
      <c r="I3" s="1"/>
      <c r="J3" s="1"/>
      <c r="K3" s="1"/>
      <c r="L3" s="1"/>
      <c r="M3" s="1"/>
      <c r="N3" s="1"/>
      <c r="O3" s="1"/>
      <c r="P3" s="1"/>
    </row>
    <row r="4" spans="1:16">
      <c r="A4" s="73" t="s">
        <v>117</v>
      </c>
      <c r="B4" s="6">
        <v>1.95</v>
      </c>
      <c r="C4" s="6">
        <v>2.5</v>
      </c>
      <c r="D4" s="6">
        <f t="shared" ref="D4:D6" si="0">2*(B4+C4)</f>
        <v>8.9</v>
      </c>
      <c r="E4" s="4">
        <f t="shared" ref="E4:E6" si="1">B4*C4</f>
        <v>4.875</v>
      </c>
      <c r="I4" s="1"/>
      <c r="J4" s="1"/>
      <c r="M4" s="1"/>
      <c r="N4" s="1"/>
    </row>
    <row r="5" spans="1:16">
      <c r="A5" s="73" t="s">
        <v>117</v>
      </c>
      <c r="B5" s="6">
        <v>1.95</v>
      </c>
      <c r="C5" s="6">
        <v>2.5</v>
      </c>
      <c r="D5" s="6">
        <f t="shared" si="0"/>
        <v>8.9</v>
      </c>
      <c r="E5" s="4">
        <f t="shared" si="1"/>
        <v>4.875</v>
      </c>
      <c r="I5" s="1"/>
      <c r="J5" s="1"/>
      <c r="K5" s="1"/>
      <c r="L5" s="1"/>
      <c r="M5" s="1"/>
      <c r="N5" s="1"/>
      <c r="O5" s="1"/>
      <c r="P5" s="1"/>
    </row>
    <row r="6" spans="1:16">
      <c r="A6" s="73" t="s">
        <v>116</v>
      </c>
      <c r="B6" s="6">
        <v>1.95</v>
      </c>
      <c r="C6" s="6">
        <v>3.83</v>
      </c>
      <c r="D6" s="6">
        <f t="shared" si="0"/>
        <v>11.56</v>
      </c>
      <c r="E6" s="4">
        <f t="shared" si="1"/>
        <v>7.4684999999999997</v>
      </c>
      <c r="I6" s="1"/>
      <c r="J6" s="1"/>
      <c r="K6" s="1"/>
      <c r="L6" s="1"/>
      <c r="M6" s="1"/>
      <c r="N6" s="1"/>
      <c r="O6" s="1"/>
      <c r="P6" s="1"/>
    </row>
    <row r="7" spans="1:16">
      <c r="A7" s="73" t="s">
        <v>122</v>
      </c>
      <c r="B7" s="9"/>
      <c r="C7" s="9"/>
      <c r="D7" s="6">
        <v>20.239999999999998</v>
      </c>
      <c r="E7" s="4">
        <v>23.23</v>
      </c>
      <c r="I7" s="1"/>
      <c r="J7" s="1"/>
      <c r="K7" s="1"/>
      <c r="L7" s="1"/>
      <c r="M7" s="1"/>
      <c r="N7" s="1"/>
      <c r="O7" s="1"/>
      <c r="P7" s="1"/>
    </row>
    <row r="8" spans="1:16">
      <c r="A8" s="73" t="s">
        <v>123</v>
      </c>
      <c r="B8" s="9"/>
      <c r="C8" s="9"/>
      <c r="D8" s="6">
        <v>56.3</v>
      </c>
      <c r="E8" s="4">
        <v>158.36000000000001</v>
      </c>
      <c r="I8" s="1"/>
      <c r="J8" s="1"/>
      <c r="K8" s="1"/>
      <c r="L8" s="1"/>
      <c r="M8" s="1"/>
      <c r="N8" s="1"/>
      <c r="O8" s="1"/>
      <c r="P8" s="1"/>
    </row>
    <row r="9" spans="1:16">
      <c r="A9" s="73" t="s">
        <v>117</v>
      </c>
      <c r="B9" s="6">
        <v>2.35</v>
      </c>
      <c r="C9" s="6">
        <v>1.8</v>
      </c>
      <c r="D9" s="6">
        <f t="shared" ref="D9:D15" si="2">2*(B9+C9)</f>
        <v>8.3000000000000007</v>
      </c>
      <c r="E9" s="4">
        <f t="shared" ref="E9:E15" si="3">B9*C9</f>
        <v>4.2300000000000004</v>
      </c>
      <c r="I9" s="1"/>
      <c r="J9" s="1"/>
      <c r="K9" s="1"/>
      <c r="L9" s="1"/>
      <c r="M9" s="1"/>
      <c r="N9" s="1"/>
      <c r="O9" s="1"/>
      <c r="P9" s="1"/>
    </row>
    <row r="10" spans="1:16">
      <c r="A10" s="73" t="s">
        <v>117</v>
      </c>
      <c r="B10" s="6">
        <v>2.35</v>
      </c>
      <c r="C10" s="6">
        <v>1.8</v>
      </c>
      <c r="D10" s="6">
        <f t="shared" si="2"/>
        <v>8.3000000000000007</v>
      </c>
      <c r="E10" s="4">
        <f t="shared" si="3"/>
        <v>4.2300000000000004</v>
      </c>
      <c r="I10" s="1"/>
      <c r="J10" s="1"/>
      <c r="K10" s="1"/>
      <c r="L10" s="1"/>
      <c r="M10" s="1"/>
      <c r="N10" s="1"/>
      <c r="O10" s="1"/>
      <c r="P10" s="1"/>
    </row>
    <row r="11" spans="1:16">
      <c r="A11" s="73" t="s">
        <v>116</v>
      </c>
      <c r="B11" s="6">
        <v>1.9</v>
      </c>
      <c r="C11" s="6">
        <v>3.6</v>
      </c>
      <c r="D11" s="6">
        <f t="shared" si="2"/>
        <v>11</v>
      </c>
      <c r="E11" s="4">
        <f t="shared" si="3"/>
        <v>6.84</v>
      </c>
      <c r="I11" s="1"/>
      <c r="J11" s="1"/>
      <c r="K11" s="1"/>
      <c r="L11" s="1"/>
      <c r="M11" s="1"/>
      <c r="N11" s="1"/>
      <c r="O11" s="1"/>
      <c r="P11" s="1"/>
    </row>
    <row r="12" spans="1:16">
      <c r="A12" s="73" t="s">
        <v>112</v>
      </c>
      <c r="B12" s="6">
        <v>4.25</v>
      </c>
      <c r="C12" s="6">
        <v>2.0499999999999998</v>
      </c>
      <c r="D12" s="6">
        <f t="shared" si="2"/>
        <v>12.6</v>
      </c>
      <c r="E12" s="4">
        <f t="shared" si="3"/>
        <v>8.7124999999999986</v>
      </c>
      <c r="I12" s="1"/>
      <c r="J12" s="1"/>
      <c r="K12" s="1"/>
      <c r="L12" s="1"/>
      <c r="M12" s="1"/>
      <c r="N12" s="1"/>
      <c r="O12" s="1"/>
      <c r="P12" s="1"/>
    </row>
    <row r="13" spans="1:16">
      <c r="A13" s="73" t="s">
        <v>117</v>
      </c>
      <c r="B13" s="6">
        <v>2.35</v>
      </c>
      <c r="C13" s="6">
        <v>1.95</v>
      </c>
      <c r="D13" s="6">
        <f t="shared" si="2"/>
        <v>8.6</v>
      </c>
      <c r="E13" s="4">
        <f t="shared" si="3"/>
        <v>4.5825000000000005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73" t="s">
        <v>5</v>
      </c>
      <c r="B14" s="6">
        <v>1.6</v>
      </c>
      <c r="C14" s="6">
        <v>2.35</v>
      </c>
      <c r="D14" s="6">
        <f t="shared" si="2"/>
        <v>7.9</v>
      </c>
      <c r="E14" s="4">
        <f t="shared" si="3"/>
        <v>3.7600000000000002</v>
      </c>
      <c r="I14" s="1"/>
      <c r="J14" s="1"/>
      <c r="K14" s="1"/>
      <c r="L14" s="1"/>
      <c r="M14" s="1"/>
      <c r="N14" s="1"/>
      <c r="O14" s="1"/>
      <c r="P14" s="1"/>
    </row>
    <row r="15" spans="1:16">
      <c r="A15" s="73" t="s">
        <v>117</v>
      </c>
      <c r="B15" s="6">
        <v>1.8</v>
      </c>
      <c r="C15" s="6">
        <v>2.35</v>
      </c>
      <c r="D15" s="6">
        <f t="shared" si="2"/>
        <v>8.3000000000000007</v>
      </c>
      <c r="E15" s="4">
        <f t="shared" si="3"/>
        <v>4.2300000000000004</v>
      </c>
      <c r="I15" s="1"/>
      <c r="J15" s="1"/>
      <c r="K15" s="1"/>
      <c r="L15" s="1"/>
      <c r="M15" s="1"/>
      <c r="N15" s="1"/>
      <c r="O15" s="1"/>
      <c r="P15" s="1"/>
    </row>
    <row r="16" spans="1:16">
      <c r="A16" s="73" t="s">
        <v>124</v>
      </c>
      <c r="B16" s="9"/>
      <c r="C16" s="9"/>
      <c r="D16" s="6">
        <v>23.2</v>
      </c>
      <c r="E16" s="4">
        <v>24.47</v>
      </c>
      <c r="I16" s="1"/>
      <c r="J16" s="1"/>
      <c r="K16" s="1"/>
      <c r="L16" s="1"/>
      <c r="M16" s="1"/>
      <c r="N16" s="1"/>
      <c r="O16" s="1"/>
      <c r="P16" s="1"/>
    </row>
    <row r="17" spans="1:16">
      <c r="A17" s="73" t="s">
        <v>116</v>
      </c>
      <c r="B17" s="6">
        <v>2.17</v>
      </c>
      <c r="C17" s="6">
        <v>4.5</v>
      </c>
      <c r="D17" s="6">
        <f t="shared" ref="D17:D18" si="4">2*(B17+C17)</f>
        <v>13.34</v>
      </c>
      <c r="E17" s="4">
        <f t="shared" ref="E17:E18" si="5">B17*C17</f>
        <v>9.7650000000000006</v>
      </c>
      <c r="I17" s="1"/>
      <c r="J17" s="1"/>
      <c r="K17" s="1"/>
      <c r="L17" s="1"/>
      <c r="M17" s="1"/>
      <c r="N17" s="1"/>
      <c r="O17" s="1"/>
      <c r="P17" s="1"/>
    </row>
    <row r="18" spans="1:16">
      <c r="A18" s="73" t="s">
        <v>125</v>
      </c>
      <c r="B18" s="6">
        <v>7</v>
      </c>
      <c r="C18" s="6">
        <v>3.45</v>
      </c>
      <c r="D18" s="6">
        <f t="shared" si="4"/>
        <v>20.9</v>
      </c>
      <c r="E18" s="4">
        <f t="shared" si="5"/>
        <v>24.150000000000002</v>
      </c>
      <c r="I18" s="1"/>
      <c r="J18" s="1"/>
      <c r="K18" s="1"/>
      <c r="L18" s="1"/>
      <c r="M18" s="1"/>
      <c r="N18" s="1"/>
      <c r="O18" s="1"/>
      <c r="P18" s="1"/>
    </row>
    <row r="19" spans="1:16">
      <c r="A19" s="73" t="s">
        <v>4</v>
      </c>
      <c r="B19" s="9"/>
      <c r="C19" s="9"/>
      <c r="D19" s="6">
        <v>125.2</v>
      </c>
      <c r="E19" s="4">
        <v>132.88</v>
      </c>
      <c r="I19" s="1"/>
      <c r="J19" s="1"/>
      <c r="K19" s="1"/>
      <c r="L19" s="1"/>
      <c r="M19" s="1"/>
      <c r="N19" s="1"/>
      <c r="O19" s="1"/>
      <c r="P19" s="1"/>
    </row>
    <row r="20" spans="1:16">
      <c r="A20" s="73" t="s">
        <v>126</v>
      </c>
      <c r="B20" s="9"/>
      <c r="C20" s="9"/>
      <c r="D20" s="6">
        <v>17.71</v>
      </c>
      <c r="E20" s="4">
        <v>13.66</v>
      </c>
      <c r="I20" s="1"/>
      <c r="J20" s="1"/>
      <c r="K20" s="1"/>
      <c r="L20" s="1"/>
      <c r="M20" s="1"/>
      <c r="N20" s="1"/>
      <c r="O20" s="1"/>
      <c r="P20" s="1"/>
    </row>
    <row r="21" spans="1:16">
      <c r="A21" s="73" t="s">
        <v>117</v>
      </c>
      <c r="B21" s="6">
        <v>1.8</v>
      </c>
      <c r="C21" s="6">
        <v>1.8</v>
      </c>
      <c r="D21" s="6">
        <f t="shared" ref="D21" si="6">2*(B21+C21)</f>
        <v>7.2</v>
      </c>
      <c r="E21" s="4">
        <f t="shared" ref="E21" si="7">B21*C21</f>
        <v>3.24</v>
      </c>
      <c r="I21" s="1"/>
      <c r="J21" s="1"/>
      <c r="K21" s="1"/>
      <c r="L21" s="1"/>
      <c r="M21" s="1"/>
      <c r="N21" s="1"/>
      <c r="O21" s="1"/>
      <c r="P21" s="1"/>
    </row>
    <row r="22" spans="1:16">
      <c r="A22" s="73" t="s">
        <v>127</v>
      </c>
      <c r="B22" s="9"/>
      <c r="C22" s="9"/>
      <c r="D22" s="6">
        <v>17.71</v>
      </c>
      <c r="E22" s="4">
        <v>13.66</v>
      </c>
      <c r="I22" s="1"/>
      <c r="J22" s="1"/>
      <c r="K22" s="1"/>
      <c r="L22" s="1"/>
      <c r="M22" s="1"/>
      <c r="N22" s="1"/>
      <c r="O22" s="1"/>
      <c r="P22" s="1"/>
    </row>
    <row r="23" spans="1:16">
      <c r="A23" s="73" t="s">
        <v>117</v>
      </c>
      <c r="B23" s="6">
        <v>1.8</v>
      </c>
      <c r="C23" s="6">
        <v>1.8</v>
      </c>
      <c r="D23" s="6">
        <f t="shared" ref="D23" si="8">2*(B23+C23)</f>
        <v>7.2</v>
      </c>
      <c r="E23" s="4">
        <f t="shared" ref="E23" si="9">B23*C23</f>
        <v>3.24</v>
      </c>
      <c r="I23" s="1"/>
      <c r="J23" s="1"/>
      <c r="K23" s="1"/>
      <c r="L23" s="1"/>
      <c r="M23" s="1"/>
      <c r="N23" s="1"/>
      <c r="O23" s="1"/>
      <c r="P23" s="1"/>
    </row>
    <row r="24" spans="1:16">
      <c r="A24" s="73" t="s">
        <v>128</v>
      </c>
      <c r="B24" s="9"/>
      <c r="C24" s="9"/>
      <c r="D24" s="6">
        <v>58.94</v>
      </c>
      <c r="E24" s="4">
        <v>159.72999999999999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73" t="s">
        <v>129</v>
      </c>
      <c r="B25" s="6">
        <v>4.55</v>
      </c>
      <c r="C25" s="6">
        <v>2.75</v>
      </c>
      <c r="D25" s="6">
        <f t="shared" ref="D25:D32" si="10">2*(B25+C25)</f>
        <v>14.6</v>
      </c>
      <c r="E25" s="4">
        <f t="shared" ref="E25:E32" si="11">B25*C25</f>
        <v>12.512499999999999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73" t="s">
        <v>117</v>
      </c>
      <c r="B26" s="6">
        <v>2.8</v>
      </c>
      <c r="C26" s="6">
        <v>1.8</v>
      </c>
      <c r="D26" s="6">
        <f t="shared" si="10"/>
        <v>9.1999999999999993</v>
      </c>
      <c r="E26" s="4">
        <f t="shared" si="11"/>
        <v>5.04</v>
      </c>
      <c r="I26" s="1"/>
      <c r="J26" s="1"/>
      <c r="K26" s="1"/>
      <c r="L26" s="1"/>
      <c r="M26" s="1"/>
      <c r="N26" s="1"/>
      <c r="O26" s="1"/>
      <c r="P26" s="1"/>
    </row>
    <row r="27" spans="1:16">
      <c r="A27" s="73" t="s">
        <v>117</v>
      </c>
      <c r="B27" s="6">
        <v>2.8</v>
      </c>
      <c r="C27" s="6">
        <v>1.8</v>
      </c>
      <c r="D27" s="6">
        <f t="shared" si="10"/>
        <v>9.1999999999999993</v>
      </c>
      <c r="E27" s="4">
        <f t="shared" si="11"/>
        <v>5.04</v>
      </c>
      <c r="I27" s="1"/>
      <c r="J27" s="1"/>
      <c r="K27" s="1"/>
      <c r="L27" s="1"/>
      <c r="M27" s="1"/>
      <c r="N27" s="1"/>
      <c r="O27" s="1"/>
      <c r="P27" s="1"/>
    </row>
    <row r="28" spans="1:16">
      <c r="A28" s="73" t="s">
        <v>113</v>
      </c>
      <c r="B28" s="6">
        <v>1.6</v>
      </c>
      <c r="C28" s="6">
        <v>3.75</v>
      </c>
      <c r="D28" s="6">
        <f t="shared" si="10"/>
        <v>10.7</v>
      </c>
      <c r="E28" s="4">
        <f t="shared" si="11"/>
        <v>6</v>
      </c>
      <c r="I28" s="1"/>
      <c r="J28" s="1"/>
      <c r="K28" s="1"/>
      <c r="L28" s="1"/>
      <c r="M28" s="1"/>
      <c r="N28" s="1"/>
      <c r="O28" s="1"/>
      <c r="P28" s="1"/>
    </row>
    <row r="29" spans="1:16">
      <c r="A29" s="73" t="s">
        <v>115</v>
      </c>
      <c r="B29" s="6">
        <v>5.0999999999999996</v>
      </c>
      <c r="C29" s="6">
        <v>4.0199999999999996</v>
      </c>
      <c r="D29" s="6">
        <f t="shared" si="10"/>
        <v>18.239999999999998</v>
      </c>
      <c r="E29" s="4">
        <f t="shared" si="11"/>
        <v>20.501999999999995</v>
      </c>
      <c r="I29" s="1"/>
      <c r="J29" s="1"/>
      <c r="K29" s="1"/>
      <c r="L29" s="1"/>
      <c r="M29" s="1"/>
      <c r="N29" s="1"/>
      <c r="O29" s="1"/>
      <c r="P29" s="1"/>
    </row>
    <row r="30" spans="1:16">
      <c r="A30" s="73" t="s">
        <v>111</v>
      </c>
      <c r="B30" s="6">
        <v>1.85</v>
      </c>
      <c r="C30" s="6">
        <v>4.5</v>
      </c>
      <c r="D30" s="6">
        <f t="shared" si="10"/>
        <v>12.7</v>
      </c>
      <c r="E30" s="4">
        <f t="shared" si="11"/>
        <v>8.3250000000000011</v>
      </c>
      <c r="I30" s="1"/>
      <c r="J30" s="1"/>
      <c r="K30" s="1"/>
      <c r="L30" s="1"/>
      <c r="M30" s="1"/>
      <c r="N30" s="1"/>
      <c r="O30" s="1"/>
      <c r="P30" s="1"/>
    </row>
    <row r="31" spans="1:16">
      <c r="A31" s="73" t="s">
        <v>117</v>
      </c>
      <c r="B31" s="6">
        <v>2</v>
      </c>
      <c r="C31" s="6">
        <v>3.35</v>
      </c>
      <c r="D31" s="6">
        <f t="shared" si="10"/>
        <v>10.7</v>
      </c>
      <c r="E31" s="4">
        <f t="shared" si="11"/>
        <v>6.7</v>
      </c>
      <c r="I31" s="1"/>
      <c r="J31" s="1"/>
      <c r="K31" s="1"/>
      <c r="L31" s="1"/>
      <c r="M31" s="1"/>
      <c r="N31" s="1"/>
      <c r="O31" s="1"/>
      <c r="P31" s="1"/>
    </row>
    <row r="32" spans="1:16">
      <c r="A32" s="73" t="s">
        <v>117</v>
      </c>
      <c r="B32" s="6">
        <v>2</v>
      </c>
      <c r="C32" s="6">
        <v>3.35</v>
      </c>
      <c r="D32" s="6">
        <f t="shared" si="10"/>
        <v>10.7</v>
      </c>
      <c r="E32" s="4">
        <f t="shared" si="11"/>
        <v>6.7</v>
      </c>
      <c r="I32" s="1"/>
      <c r="J32" s="1"/>
      <c r="K32" s="1"/>
      <c r="L32" s="1"/>
      <c r="M32" s="1"/>
      <c r="N32" s="1"/>
      <c r="O32" s="1"/>
      <c r="P32" s="1"/>
    </row>
    <row r="33" spans="1:16">
      <c r="A33" s="73" t="s">
        <v>130</v>
      </c>
      <c r="B33" s="9"/>
      <c r="C33" s="9"/>
      <c r="D33" s="6">
        <v>60.44</v>
      </c>
      <c r="E33" s="4">
        <v>149.12</v>
      </c>
      <c r="I33" s="1"/>
      <c r="J33" s="1"/>
      <c r="K33" s="1"/>
      <c r="L33" s="1"/>
      <c r="M33" s="1"/>
      <c r="N33" s="1"/>
      <c r="O33" s="1"/>
      <c r="P33" s="1"/>
    </row>
    <row r="34" spans="1:16" hidden="1"/>
    <row r="35" spans="1:16" hidden="1"/>
    <row r="36" spans="1:16" hidden="1"/>
    <row r="37" spans="1:16" hidden="1"/>
    <row r="38" spans="1:16" hidden="1"/>
    <row r="39" spans="1:16" hidden="1"/>
    <row r="40" spans="1:16" hidden="1"/>
    <row r="41" spans="1:16" hidden="1"/>
    <row r="42" spans="1:16" hidden="1"/>
    <row r="43" spans="1:16" hidden="1"/>
    <row r="44" spans="1:16" hidden="1"/>
    <row r="45" spans="1:16" hidden="1"/>
    <row r="46" spans="1:16" hidden="1"/>
    <row r="47" spans="1:16" hidden="1"/>
    <row r="48" spans="1:16" hidden="1"/>
    <row r="52" spans="1:3">
      <c r="A52" s="73" t="s">
        <v>83</v>
      </c>
      <c r="B52" s="155">
        <f>SUM(E3:E33)</f>
        <v>993.91800000000001</v>
      </c>
      <c r="C52" s="156"/>
    </row>
    <row r="53" spans="1:3" hidden="1">
      <c r="A53" s="5" t="s">
        <v>337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87" orientation="landscape" r:id="rId1"/>
  <headerFooter>
    <oddHeader>&amp;A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36"/>
  <sheetViews>
    <sheetView zoomScale="85" zoomScaleNormal="85" workbookViewId="0">
      <pane ySplit="2" topLeftCell="A3" activePane="bottomLeft" state="frozenSplit"/>
      <selection pane="bottomLeft" activeCell="A36" sqref="A36:XFD3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346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60" t="s">
        <v>121</v>
      </c>
      <c r="B3" s="9"/>
      <c r="C3" s="9"/>
      <c r="D3" s="6">
        <v>54.42</v>
      </c>
      <c r="E3" s="4">
        <v>153.79</v>
      </c>
      <c r="I3" s="1"/>
      <c r="J3" s="1"/>
      <c r="K3" s="1"/>
      <c r="L3" s="1"/>
      <c r="M3" s="1"/>
      <c r="N3" s="1"/>
      <c r="O3" s="1"/>
      <c r="P3" s="1"/>
    </row>
    <row r="4" spans="1:16">
      <c r="A4" s="60" t="s">
        <v>122</v>
      </c>
      <c r="B4" s="9"/>
      <c r="C4" s="9"/>
      <c r="D4" s="6">
        <v>20.239999999999998</v>
      </c>
      <c r="E4" s="4">
        <v>23.23</v>
      </c>
      <c r="I4" s="1"/>
      <c r="J4" s="1"/>
      <c r="K4" s="1"/>
      <c r="L4" s="1"/>
      <c r="M4" s="1"/>
      <c r="N4" s="1"/>
      <c r="O4" s="1"/>
      <c r="P4" s="1"/>
    </row>
    <row r="5" spans="1:16">
      <c r="A5" s="60" t="s">
        <v>123</v>
      </c>
      <c r="B5" s="9"/>
      <c r="C5" s="9"/>
      <c r="D5" s="6">
        <v>56.3</v>
      </c>
      <c r="E5" s="4">
        <v>158.36000000000001</v>
      </c>
      <c r="I5" s="1"/>
      <c r="J5" s="1"/>
      <c r="K5" s="1"/>
      <c r="L5" s="1"/>
      <c r="M5" s="1"/>
      <c r="N5" s="1"/>
      <c r="O5" s="1"/>
      <c r="P5" s="1"/>
    </row>
    <row r="6" spans="1:16">
      <c r="A6" s="60" t="s">
        <v>112</v>
      </c>
      <c r="B6" s="6">
        <v>4.25</v>
      </c>
      <c r="C6" s="6">
        <v>2.0499999999999998</v>
      </c>
      <c r="D6" s="6">
        <f t="shared" ref="D6" si="0">2*(B6+C6)</f>
        <v>12.6</v>
      </c>
      <c r="E6" s="4">
        <f t="shared" ref="E6" si="1">B6*C6</f>
        <v>8.7124999999999986</v>
      </c>
      <c r="I6" s="1"/>
      <c r="J6" s="1"/>
      <c r="K6" s="1"/>
      <c r="L6" s="1"/>
      <c r="M6" s="1"/>
      <c r="N6" s="1"/>
      <c r="O6" s="1"/>
      <c r="P6" s="1"/>
    </row>
    <row r="7" spans="1:16">
      <c r="A7" s="60" t="s">
        <v>124</v>
      </c>
      <c r="B7" s="9"/>
      <c r="C7" s="9"/>
      <c r="D7" s="6">
        <v>23.2</v>
      </c>
      <c r="E7" s="4">
        <v>24.47</v>
      </c>
      <c r="I7" s="1"/>
      <c r="J7" s="1"/>
      <c r="K7" s="1"/>
      <c r="L7" s="1"/>
      <c r="M7" s="1"/>
      <c r="N7" s="1"/>
      <c r="O7" s="1"/>
      <c r="P7" s="1"/>
    </row>
    <row r="8" spans="1:16">
      <c r="A8" s="60" t="s">
        <v>116</v>
      </c>
      <c r="B8" s="6">
        <v>2.17</v>
      </c>
      <c r="C8" s="6">
        <v>4.5</v>
      </c>
      <c r="D8" s="6">
        <f t="shared" ref="D8:D9" si="2">2*(B8+C8)</f>
        <v>13.34</v>
      </c>
      <c r="E8" s="4">
        <f t="shared" ref="E8:E9" si="3">B8*C8</f>
        <v>9.7650000000000006</v>
      </c>
      <c r="I8" s="1"/>
      <c r="J8" s="1"/>
      <c r="K8" s="1"/>
      <c r="L8" s="1"/>
      <c r="M8" s="1"/>
      <c r="N8" s="1"/>
      <c r="O8" s="1"/>
      <c r="P8" s="1"/>
    </row>
    <row r="9" spans="1:16">
      <c r="A9" s="60" t="s">
        <v>125</v>
      </c>
      <c r="B9" s="6">
        <v>7</v>
      </c>
      <c r="C9" s="6">
        <v>3.45</v>
      </c>
      <c r="D9" s="6">
        <f t="shared" si="2"/>
        <v>20.9</v>
      </c>
      <c r="E9" s="4">
        <f t="shared" si="3"/>
        <v>24.150000000000002</v>
      </c>
      <c r="I9" s="1"/>
      <c r="J9" s="1"/>
      <c r="K9" s="1"/>
      <c r="L9" s="1"/>
      <c r="M9" s="1"/>
      <c r="N9" s="1"/>
      <c r="O9" s="1"/>
      <c r="P9" s="1"/>
    </row>
    <row r="10" spans="1:16">
      <c r="A10" s="60" t="s">
        <v>4</v>
      </c>
      <c r="B10" s="9"/>
      <c r="C10" s="9"/>
      <c r="D10" s="6">
        <v>125.2</v>
      </c>
      <c r="E10" s="4">
        <v>132.88</v>
      </c>
      <c r="I10" s="1"/>
      <c r="J10" s="1"/>
      <c r="K10" s="1"/>
      <c r="L10" s="1"/>
      <c r="M10" s="1"/>
      <c r="N10" s="1"/>
      <c r="O10" s="1"/>
      <c r="P10" s="1"/>
    </row>
    <row r="11" spans="1:16">
      <c r="A11" s="60" t="s">
        <v>126</v>
      </c>
      <c r="B11" s="9"/>
      <c r="C11" s="9"/>
      <c r="D11" s="6">
        <v>17.71</v>
      </c>
      <c r="E11" s="4">
        <v>13.66</v>
      </c>
      <c r="I11" s="1"/>
      <c r="J11" s="1"/>
      <c r="K11" s="1"/>
      <c r="L11" s="1"/>
      <c r="M11" s="1"/>
      <c r="N11" s="1"/>
      <c r="O11" s="1"/>
      <c r="P11" s="1"/>
    </row>
    <row r="12" spans="1:16">
      <c r="A12" s="60" t="s">
        <v>127</v>
      </c>
      <c r="B12" s="9"/>
      <c r="C12" s="9"/>
      <c r="D12" s="6">
        <v>17.71</v>
      </c>
      <c r="E12" s="4">
        <v>13.66</v>
      </c>
      <c r="I12" s="1"/>
      <c r="J12" s="1"/>
      <c r="K12" s="1"/>
      <c r="L12" s="1"/>
      <c r="M12" s="1"/>
      <c r="N12" s="1"/>
      <c r="O12" s="1"/>
      <c r="P12" s="1"/>
    </row>
    <row r="13" spans="1:16">
      <c r="A13" s="60" t="s">
        <v>128</v>
      </c>
      <c r="B13" s="9"/>
      <c r="C13" s="9"/>
      <c r="D13" s="6">
        <v>58.94</v>
      </c>
      <c r="E13" s="4">
        <v>159.72999999999999</v>
      </c>
      <c r="I13" s="1"/>
      <c r="J13" s="1"/>
      <c r="K13" s="1"/>
      <c r="L13" s="1"/>
      <c r="M13" s="1"/>
      <c r="N13" s="1"/>
      <c r="O13" s="1"/>
      <c r="P13" s="1"/>
    </row>
    <row r="14" spans="1:16">
      <c r="A14" s="60" t="s">
        <v>129</v>
      </c>
      <c r="B14" s="6">
        <v>4.55</v>
      </c>
      <c r="C14" s="6">
        <v>2.75</v>
      </c>
      <c r="D14" s="6">
        <f t="shared" ref="D14:D16" si="4">2*(B14+C14)</f>
        <v>14.6</v>
      </c>
      <c r="E14" s="4">
        <f t="shared" ref="E14:E16" si="5">B14*C14</f>
        <v>12.512499999999999</v>
      </c>
      <c r="I14" s="1"/>
      <c r="J14" s="1"/>
      <c r="K14" s="1"/>
      <c r="L14" s="1"/>
      <c r="M14" s="1"/>
      <c r="N14" s="1"/>
      <c r="O14" s="1"/>
      <c r="P14" s="1"/>
    </row>
    <row r="15" spans="1:16">
      <c r="A15" s="60" t="s">
        <v>115</v>
      </c>
      <c r="B15" s="6">
        <v>5.0999999999999996</v>
      </c>
      <c r="C15" s="6">
        <v>4.0199999999999996</v>
      </c>
      <c r="D15" s="6">
        <f t="shared" si="4"/>
        <v>18.239999999999998</v>
      </c>
      <c r="E15" s="4">
        <f t="shared" si="5"/>
        <v>20.501999999999995</v>
      </c>
      <c r="I15" s="1"/>
      <c r="J15" s="1"/>
      <c r="K15" s="1"/>
      <c r="L15" s="1"/>
      <c r="M15" s="1"/>
      <c r="N15" s="1"/>
      <c r="O15" s="1"/>
      <c r="P15" s="1"/>
    </row>
    <row r="16" spans="1:16">
      <c r="A16" s="60" t="s">
        <v>111</v>
      </c>
      <c r="B16" s="6">
        <v>1.85</v>
      </c>
      <c r="C16" s="6">
        <v>4.5</v>
      </c>
      <c r="D16" s="6">
        <f t="shared" si="4"/>
        <v>12.7</v>
      </c>
      <c r="E16" s="4">
        <f t="shared" si="5"/>
        <v>8.3250000000000011</v>
      </c>
      <c r="I16" s="1"/>
      <c r="J16" s="1"/>
      <c r="K16" s="1"/>
      <c r="L16" s="1"/>
      <c r="M16" s="1"/>
      <c r="N16" s="1"/>
      <c r="O16" s="1"/>
      <c r="P16" s="1"/>
    </row>
    <row r="17" spans="1:16">
      <c r="A17" s="60" t="s">
        <v>130</v>
      </c>
      <c r="B17" s="9"/>
      <c r="C17" s="9"/>
      <c r="D17" s="6">
        <v>60.44</v>
      </c>
      <c r="E17" s="4">
        <v>149.12</v>
      </c>
      <c r="I17" s="1"/>
      <c r="J17" s="1"/>
      <c r="K17" s="1"/>
      <c r="L17" s="1"/>
      <c r="M17" s="1"/>
      <c r="N17" s="1"/>
      <c r="O17" s="1"/>
      <c r="P17" s="1"/>
    </row>
    <row r="18" spans="1:16" hidden="1"/>
    <row r="19" spans="1:16" hidden="1"/>
    <row r="20" spans="1:16" hidden="1"/>
    <row r="21" spans="1:16" hidden="1"/>
    <row r="22" spans="1:16" hidden="1"/>
    <row r="23" spans="1:16" hidden="1"/>
    <row r="24" spans="1:16" hidden="1"/>
    <row r="25" spans="1:16" hidden="1"/>
    <row r="26" spans="1:16" hidden="1"/>
    <row r="27" spans="1:16" hidden="1"/>
    <row r="28" spans="1:16" hidden="1"/>
    <row r="29" spans="1:16" hidden="1"/>
    <row r="30" spans="1:16" hidden="1"/>
    <row r="31" spans="1:16" hidden="1"/>
    <row r="32" spans="1:16" hidden="1"/>
    <row r="33" spans="1:3" hidden="1"/>
    <row r="35" spans="1:3">
      <c r="A35" s="60" t="s">
        <v>83</v>
      </c>
      <c r="B35" s="155">
        <f>SUM(E3:E17)</f>
        <v>912.86699999999996</v>
      </c>
      <c r="C35" s="156"/>
    </row>
    <row r="36" spans="1:3" hidden="1">
      <c r="A36" s="5" t="s">
        <v>347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27"/>
  <sheetViews>
    <sheetView zoomScale="85" zoomScaleNormal="85" workbookViewId="0">
      <pane ySplit="2" topLeftCell="A3" activePane="bottomLeft" state="frozenSplit"/>
      <selection pane="bottomLeft" activeCell="A22" sqref="A22:XFD2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348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60" t="s">
        <v>117</v>
      </c>
      <c r="B3" s="6">
        <v>1.95</v>
      </c>
      <c r="C3" s="6">
        <v>2.5</v>
      </c>
      <c r="D3" s="6">
        <f t="shared" ref="D3:D5" si="0">2*(B3+C3)</f>
        <v>8.9</v>
      </c>
      <c r="E3" s="4">
        <f t="shared" ref="E3:E5" si="1">B3*C3</f>
        <v>4.875</v>
      </c>
      <c r="I3" s="1"/>
      <c r="J3" s="1"/>
      <c r="M3" s="1"/>
      <c r="N3" s="1"/>
    </row>
    <row r="4" spans="1:16">
      <c r="A4" s="60" t="s">
        <v>117</v>
      </c>
      <c r="B4" s="6">
        <v>1.95</v>
      </c>
      <c r="C4" s="6">
        <v>2.5</v>
      </c>
      <c r="D4" s="6">
        <f t="shared" si="0"/>
        <v>8.9</v>
      </c>
      <c r="E4" s="4">
        <f t="shared" si="1"/>
        <v>4.875</v>
      </c>
      <c r="I4" s="1"/>
      <c r="J4" s="1"/>
      <c r="K4" s="1"/>
      <c r="L4" s="1"/>
      <c r="M4" s="1"/>
      <c r="N4" s="1"/>
      <c r="O4" s="1"/>
      <c r="P4" s="1"/>
    </row>
    <row r="5" spans="1:16">
      <c r="A5" s="60" t="s">
        <v>116</v>
      </c>
      <c r="B5" s="6">
        <v>1.95</v>
      </c>
      <c r="C5" s="6">
        <v>3.83</v>
      </c>
      <c r="D5" s="6">
        <f t="shared" si="0"/>
        <v>11.56</v>
      </c>
      <c r="E5" s="4">
        <f t="shared" si="1"/>
        <v>7.4684999999999997</v>
      </c>
      <c r="I5" s="1"/>
      <c r="J5" s="1"/>
      <c r="K5" s="1"/>
      <c r="L5" s="1"/>
      <c r="M5" s="1"/>
      <c r="N5" s="1"/>
      <c r="O5" s="1"/>
      <c r="P5" s="1"/>
    </row>
    <row r="6" spans="1:16">
      <c r="A6" s="60" t="s">
        <v>117</v>
      </c>
      <c r="B6" s="6">
        <v>2.35</v>
      </c>
      <c r="C6" s="6">
        <v>1.8</v>
      </c>
      <c r="D6" s="6">
        <f t="shared" ref="D6:D8" si="2">2*(B6+C6)</f>
        <v>8.3000000000000007</v>
      </c>
      <c r="E6" s="4">
        <f t="shared" ref="E6:E8" si="3">B6*C6</f>
        <v>4.2300000000000004</v>
      </c>
      <c r="I6" s="1"/>
      <c r="J6" s="1"/>
      <c r="K6" s="1"/>
      <c r="L6" s="1"/>
      <c r="M6" s="1"/>
      <c r="N6" s="1"/>
      <c r="O6" s="1"/>
      <c r="P6" s="1"/>
    </row>
    <row r="7" spans="1:16">
      <c r="A7" s="60" t="s">
        <v>117</v>
      </c>
      <c r="B7" s="6">
        <v>2.35</v>
      </c>
      <c r="C7" s="6">
        <v>1.8</v>
      </c>
      <c r="D7" s="6">
        <f t="shared" si="2"/>
        <v>8.3000000000000007</v>
      </c>
      <c r="E7" s="4">
        <f t="shared" si="3"/>
        <v>4.2300000000000004</v>
      </c>
      <c r="I7" s="1"/>
      <c r="J7" s="1"/>
      <c r="K7" s="1"/>
      <c r="L7" s="1"/>
      <c r="M7" s="1"/>
      <c r="N7" s="1"/>
      <c r="O7" s="1"/>
      <c r="P7" s="1"/>
    </row>
    <row r="8" spans="1:16">
      <c r="A8" s="60" t="s">
        <v>116</v>
      </c>
      <c r="B8" s="6">
        <v>1.9</v>
      </c>
      <c r="C8" s="6">
        <v>3.6</v>
      </c>
      <c r="D8" s="6">
        <f t="shared" si="2"/>
        <v>11</v>
      </c>
      <c r="E8" s="4">
        <f t="shared" si="3"/>
        <v>6.84</v>
      </c>
      <c r="I8" s="1"/>
      <c r="J8" s="1"/>
      <c r="K8" s="1"/>
      <c r="L8" s="1"/>
      <c r="M8" s="1"/>
      <c r="N8" s="1"/>
      <c r="O8" s="1"/>
      <c r="P8" s="1"/>
    </row>
    <row r="9" spans="1:16">
      <c r="A9" s="60" t="s">
        <v>117</v>
      </c>
      <c r="B9" s="6">
        <v>2.35</v>
      </c>
      <c r="C9" s="6">
        <v>1.95</v>
      </c>
      <c r="D9" s="6">
        <f t="shared" ref="D9:D11" si="4">2*(B9+C9)</f>
        <v>8.6</v>
      </c>
      <c r="E9" s="4">
        <f t="shared" ref="E9:E11" si="5">B9*C9</f>
        <v>4.5825000000000005</v>
      </c>
      <c r="I9" s="1"/>
      <c r="J9" s="1"/>
      <c r="K9" s="1"/>
      <c r="L9" s="1"/>
      <c r="M9" s="1"/>
      <c r="N9" s="1"/>
      <c r="O9" s="1"/>
      <c r="P9" s="1"/>
    </row>
    <row r="10" spans="1:16">
      <c r="A10" s="60" t="s">
        <v>5</v>
      </c>
      <c r="B10" s="6">
        <v>1.6</v>
      </c>
      <c r="C10" s="6">
        <v>2.35</v>
      </c>
      <c r="D10" s="6">
        <f t="shared" si="4"/>
        <v>7.9</v>
      </c>
      <c r="E10" s="4">
        <f t="shared" si="5"/>
        <v>3.7600000000000002</v>
      </c>
      <c r="I10" s="1"/>
      <c r="J10" s="1"/>
      <c r="K10" s="1"/>
      <c r="L10" s="1"/>
      <c r="M10" s="1"/>
      <c r="N10" s="1"/>
      <c r="O10" s="1"/>
      <c r="P10" s="1"/>
    </row>
    <row r="11" spans="1:16">
      <c r="A11" s="60" t="s">
        <v>117</v>
      </c>
      <c r="B11" s="6">
        <v>1.8</v>
      </c>
      <c r="C11" s="6">
        <v>2.35</v>
      </c>
      <c r="D11" s="6">
        <f t="shared" si="4"/>
        <v>8.3000000000000007</v>
      </c>
      <c r="E11" s="4">
        <f t="shared" si="5"/>
        <v>4.2300000000000004</v>
      </c>
      <c r="I11" s="1"/>
      <c r="J11" s="1"/>
      <c r="K11" s="1"/>
      <c r="L11" s="1"/>
      <c r="M11" s="1"/>
      <c r="N11" s="1"/>
      <c r="O11" s="1"/>
      <c r="P11" s="1"/>
    </row>
    <row r="12" spans="1:16">
      <c r="A12" s="60" t="s">
        <v>117</v>
      </c>
      <c r="B12" s="6">
        <v>1.8</v>
      </c>
      <c r="C12" s="6">
        <v>1.8</v>
      </c>
      <c r="D12" s="6">
        <f t="shared" ref="D12" si="6">2*(B12+C12)</f>
        <v>7.2</v>
      </c>
      <c r="E12" s="4">
        <f t="shared" ref="E12" si="7">B12*C12</f>
        <v>3.24</v>
      </c>
      <c r="I12" s="1"/>
      <c r="J12" s="1"/>
      <c r="K12" s="1"/>
      <c r="L12" s="1"/>
      <c r="M12" s="1"/>
      <c r="N12" s="1"/>
      <c r="O12" s="1"/>
      <c r="P12" s="1"/>
    </row>
    <row r="13" spans="1:16">
      <c r="A13" s="60" t="s">
        <v>117</v>
      </c>
      <c r="B13" s="6">
        <v>1.8</v>
      </c>
      <c r="C13" s="6">
        <v>1.8</v>
      </c>
      <c r="D13" s="6">
        <f t="shared" ref="D13" si="8">2*(B13+C13)</f>
        <v>7.2</v>
      </c>
      <c r="E13" s="4">
        <f t="shared" ref="E13" si="9">B13*C13</f>
        <v>3.24</v>
      </c>
      <c r="I13" s="1"/>
      <c r="J13" s="1"/>
      <c r="K13" s="1"/>
      <c r="L13" s="1"/>
      <c r="M13" s="1"/>
      <c r="N13" s="1"/>
      <c r="O13" s="1"/>
      <c r="P13" s="1"/>
    </row>
    <row r="14" spans="1:16">
      <c r="A14" s="60" t="s">
        <v>117</v>
      </c>
      <c r="B14" s="6">
        <v>2.8</v>
      </c>
      <c r="C14" s="6">
        <v>1.8</v>
      </c>
      <c r="D14" s="6">
        <f t="shared" ref="D14:D18" si="10">2*(B14+C14)</f>
        <v>9.1999999999999993</v>
      </c>
      <c r="E14" s="4">
        <f t="shared" ref="E14:E18" si="11">B14*C14</f>
        <v>5.04</v>
      </c>
      <c r="I14" s="1"/>
      <c r="J14" s="1"/>
      <c r="K14" s="1"/>
      <c r="L14" s="1"/>
      <c r="M14" s="1"/>
      <c r="N14" s="1"/>
      <c r="O14" s="1"/>
      <c r="P14" s="1"/>
    </row>
    <row r="15" spans="1:16">
      <c r="A15" s="60" t="s">
        <v>117</v>
      </c>
      <c r="B15" s="6">
        <v>2.8</v>
      </c>
      <c r="C15" s="6">
        <v>1.8</v>
      </c>
      <c r="D15" s="6">
        <f t="shared" si="10"/>
        <v>9.1999999999999993</v>
      </c>
      <c r="E15" s="4">
        <f t="shared" si="11"/>
        <v>5.04</v>
      </c>
      <c r="I15" s="1"/>
      <c r="J15" s="1"/>
      <c r="K15" s="1"/>
      <c r="L15" s="1"/>
      <c r="M15" s="1"/>
      <c r="N15" s="1"/>
      <c r="O15" s="1"/>
      <c r="P15" s="1"/>
    </row>
    <row r="16" spans="1:16">
      <c r="A16" s="60" t="s">
        <v>113</v>
      </c>
      <c r="B16" s="6">
        <v>1.6</v>
      </c>
      <c r="C16" s="6">
        <v>3.75</v>
      </c>
      <c r="D16" s="6">
        <f t="shared" si="10"/>
        <v>10.7</v>
      </c>
      <c r="E16" s="4">
        <f t="shared" si="11"/>
        <v>6</v>
      </c>
      <c r="I16" s="1"/>
      <c r="J16" s="1"/>
      <c r="K16" s="1"/>
      <c r="L16" s="1"/>
      <c r="M16" s="1"/>
      <c r="N16" s="1"/>
      <c r="O16" s="1"/>
      <c r="P16" s="1"/>
    </row>
    <row r="17" spans="1:16">
      <c r="A17" s="60" t="s">
        <v>117</v>
      </c>
      <c r="B17" s="6">
        <v>2</v>
      </c>
      <c r="C17" s="6">
        <v>3.35</v>
      </c>
      <c r="D17" s="6">
        <f t="shared" si="10"/>
        <v>10.7</v>
      </c>
      <c r="E17" s="4">
        <f t="shared" si="11"/>
        <v>6.7</v>
      </c>
      <c r="I17" s="1"/>
      <c r="J17" s="1"/>
      <c r="K17" s="1"/>
      <c r="L17" s="1"/>
      <c r="M17" s="1"/>
      <c r="N17" s="1"/>
      <c r="O17" s="1"/>
      <c r="P17" s="1"/>
    </row>
    <row r="18" spans="1:16">
      <c r="A18" s="60" t="s">
        <v>117</v>
      </c>
      <c r="B18" s="6">
        <v>2</v>
      </c>
      <c r="C18" s="6">
        <v>3.35</v>
      </c>
      <c r="D18" s="6">
        <f t="shared" si="10"/>
        <v>10.7</v>
      </c>
      <c r="E18" s="4">
        <f t="shared" si="11"/>
        <v>6.7</v>
      </c>
      <c r="I18" s="1"/>
      <c r="J18" s="1"/>
      <c r="K18" s="1"/>
      <c r="L18" s="1"/>
      <c r="M18" s="1"/>
      <c r="N18" s="1"/>
      <c r="O18" s="1"/>
      <c r="P18" s="1"/>
    </row>
    <row r="21" spans="1:16">
      <c r="A21" s="60" t="s">
        <v>83</v>
      </c>
      <c r="B21" s="155">
        <f>SUM(E3:E18)</f>
        <v>81.051000000000016</v>
      </c>
      <c r="C21" s="156"/>
    </row>
    <row r="22" spans="1:16" hidden="1">
      <c r="A22" s="5" t="s">
        <v>349</v>
      </c>
    </row>
    <row r="27" spans="1:16">
      <c r="C27" s="42"/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8"/>
  <sheetViews>
    <sheetView zoomScale="85" zoomScaleNormal="85" workbookViewId="0">
      <pane ySplit="2" topLeftCell="A3" activePane="bottomLeft" state="frozenSplit"/>
      <selection pane="bottomLeft" activeCell="A8" sqref="A8:XFD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350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133" t="s">
        <v>351</v>
      </c>
      <c r="B3" s="6">
        <v>0</v>
      </c>
      <c r="C3" s="6">
        <v>0</v>
      </c>
      <c r="D3" s="6">
        <v>0</v>
      </c>
      <c r="E3" s="4">
        <v>0</v>
      </c>
      <c r="I3" s="1"/>
      <c r="J3" s="1"/>
      <c r="K3" s="1"/>
      <c r="L3" s="1"/>
      <c r="M3" s="1"/>
      <c r="N3" s="1"/>
      <c r="O3" s="1"/>
      <c r="P3" s="1"/>
    </row>
    <row r="7" spans="1:16">
      <c r="A7" s="60" t="s">
        <v>83</v>
      </c>
      <c r="B7" s="155">
        <f>SUM(E3:E3)</f>
        <v>0</v>
      </c>
      <c r="C7" s="156"/>
    </row>
    <row r="8" spans="1:16" hidden="1">
      <c r="A8" s="5" t="s">
        <v>352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24"/>
  <sheetViews>
    <sheetView zoomScale="85" zoomScaleNormal="85" workbookViewId="0">
      <pane ySplit="2" topLeftCell="A3" activePane="bottomLeft" state="frozenSplit"/>
      <selection pane="bottomLeft" activeCell="G1" sqref="G1:G1048576"/>
    </sheetView>
  </sheetViews>
  <sheetFormatPr defaultRowHeight="15"/>
  <cols>
    <col min="1" max="1" width="20.7109375" style="5" customWidth="1"/>
    <col min="2" max="6" width="10.7109375" style="5" customWidth="1"/>
    <col min="7" max="7" width="10.7109375" style="5" hidden="1" customWidth="1"/>
    <col min="8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353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60" t="s">
        <v>118</v>
      </c>
      <c r="B3" s="9"/>
      <c r="C3" s="9"/>
      <c r="D3" s="6">
        <v>27.06</v>
      </c>
      <c r="E3" s="4">
        <f>37.07+(21*2.2*0.18)</f>
        <v>45.386000000000003</v>
      </c>
      <c r="I3" s="1"/>
      <c r="J3" s="1"/>
      <c r="K3" s="1"/>
      <c r="L3" s="1"/>
      <c r="M3" s="1"/>
      <c r="N3" s="1"/>
      <c r="O3" s="1"/>
      <c r="P3" s="1"/>
    </row>
    <row r="4" spans="1:16">
      <c r="A4" s="60" t="s">
        <v>119</v>
      </c>
      <c r="B4" s="9"/>
      <c r="C4" s="9"/>
      <c r="D4" s="6">
        <v>25.76</v>
      </c>
      <c r="E4" s="4">
        <f>35.11+(21*2.2*0.18)</f>
        <v>43.426000000000002</v>
      </c>
      <c r="I4" s="1"/>
      <c r="J4" s="1"/>
      <c r="K4" s="1"/>
      <c r="L4" s="1"/>
      <c r="M4" s="1"/>
      <c r="N4" s="1"/>
      <c r="O4" s="1"/>
      <c r="P4" s="1"/>
    </row>
    <row r="7" spans="1:16">
      <c r="A7" s="130" t="s">
        <v>294</v>
      </c>
      <c r="B7" s="155">
        <f>SUM(E3:E4)</f>
        <v>88.812000000000012</v>
      </c>
      <c r="C7" s="156"/>
      <c r="G7" s="5" t="s">
        <v>356</v>
      </c>
    </row>
    <row r="11" spans="1:16">
      <c r="A11" s="154" t="s">
        <v>354</v>
      </c>
      <c r="B11" s="154"/>
      <c r="C11" s="154"/>
      <c r="D11" s="154"/>
      <c r="E11" s="154"/>
    </row>
    <row r="12" spans="1:16" ht="30" customHeight="1">
      <c r="A12" s="1"/>
      <c r="B12" s="10" t="s">
        <v>7</v>
      </c>
      <c r="C12" s="10" t="s">
        <v>8</v>
      </c>
      <c r="D12" s="11" t="s">
        <v>2</v>
      </c>
      <c r="E12" s="11" t="s">
        <v>1</v>
      </c>
    </row>
    <row r="13" spans="1:16">
      <c r="A13" s="130" t="s">
        <v>295</v>
      </c>
      <c r="B13" s="6">
        <v>0</v>
      </c>
      <c r="C13" s="6">
        <v>0</v>
      </c>
      <c r="D13" s="6">
        <v>0</v>
      </c>
      <c r="E13" s="4">
        <v>0</v>
      </c>
    </row>
    <row r="15" spans="1:16">
      <c r="A15" s="130" t="s">
        <v>296</v>
      </c>
      <c r="B15" s="155">
        <f>SUM(E13:E13)</f>
        <v>0</v>
      </c>
      <c r="C15" s="156"/>
    </row>
    <row r="19" spans="1:7">
      <c r="A19" s="154" t="s">
        <v>355</v>
      </c>
      <c r="B19" s="154"/>
      <c r="C19" s="154"/>
      <c r="D19" s="154"/>
    </row>
    <row r="20" spans="1:7" ht="29.25">
      <c r="A20" s="1"/>
      <c r="B20" s="10" t="s">
        <v>285</v>
      </c>
      <c r="C20" s="10" t="s">
        <v>286</v>
      </c>
      <c r="D20" s="18" t="s">
        <v>287</v>
      </c>
    </row>
    <row r="21" spans="1:7">
      <c r="A21" s="126" t="s">
        <v>118</v>
      </c>
      <c r="B21" s="127">
        <v>21</v>
      </c>
      <c r="C21" s="6">
        <v>2.2000000000000002</v>
      </c>
      <c r="D21" s="6">
        <f>B21*C21</f>
        <v>46.2</v>
      </c>
    </row>
    <row r="22" spans="1:7">
      <c r="A22" s="126" t="s">
        <v>119</v>
      </c>
      <c r="B22" s="127">
        <v>21</v>
      </c>
      <c r="C22" s="6">
        <v>2.2000000000000002</v>
      </c>
      <c r="D22" s="6">
        <f>B22*C22</f>
        <v>46.2</v>
      </c>
    </row>
    <row r="24" spans="1:7">
      <c r="A24" s="126" t="s">
        <v>288</v>
      </c>
      <c r="B24" s="159">
        <f>SUM(D21:D22)</f>
        <v>92.4</v>
      </c>
      <c r="C24" s="160"/>
      <c r="G24" s="5" t="s">
        <v>357</v>
      </c>
    </row>
  </sheetData>
  <mergeCells count="6">
    <mergeCell ref="B7:C7"/>
    <mergeCell ref="B24:C24"/>
    <mergeCell ref="B15:C15"/>
    <mergeCell ref="A1:E1"/>
    <mergeCell ref="A11:E11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58"/>
  <sheetViews>
    <sheetView zoomScale="85" zoomScaleNormal="85" workbookViewId="0">
      <selection activeCell="F26" sqref="F2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358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68" t="s">
        <v>232</v>
      </c>
      <c r="B3" s="6">
        <v>15.75</v>
      </c>
      <c r="C3" s="6">
        <v>3.45</v>
      </c>
      <c r="D3" s="6">
        <f t="shared" ref="D3" si="0">2*(B3+C3)</f>
        <v>38.4</v>
      </c>
      <c r="E3" s="4">
        <f t="shared" ref="E3" si="1">B3*C3</f>
        <v>54.337500000000006</v>
      </c>
      <c r="I3" s="1"/>
      <c r="J3" s="1"/>
      <c r="K3" s="1"/>
      <c r="L3" s="1"/>
      <c r="M3" s="1"/>
      <c r="N3" s="1"/>
      <c r="O3" s="1"/>
      <c r="P3" s="1"/>
    </row>
    <row r="4" spans="1:16">
      <c r="A4" s="68" t="s">
        <v>120</v>
      </c>
      <c r="B4" s="9"/>
      <c r="C4" s="9"/>
      <c r="D4" s="6">
        <v>43.6</v>
      </c>
      <c r="E4" s="4">
        <v>112.42</v>
      </c>
      <c r="I4" s="1"/>
      <c r="J4" s="1"/>
      <c r="M4" s="1"/>
      <c r="N4" s="1"/>
    </row>
    <row r="5" spans="1:16">
      <c r="A5" s="68" t="s">
        <v>121</v>
      </c>
      <c r="B5" s="9"/>
      <c r="C5" s="9"/>
      <c r="D5" s="6">
        <v>54.42</v>
      </c>
      <c r="E5" s="4">
        <v>153.79</v>
      </c>
      <c r="I5" s="1"/>
      <c r="J5" s="1"/>
      <c r="K5" s="1"/>
      <c r="L5" s="1"/>
      <c r="M5" s="1"/>
      <c r="N5" s="1"/>
      <c r="O5" s="1"/>
      <c r="P5" s="1"/>
    </row>
    <row r="6" spans="1:16">
      <c r="A6" s="68" t="s">
        <v>122</v>
      </c>
      <c r="B6" s="9"/>
      <c r="C6" s="9"/>
      <c r="D6" s="6">
        <v>20.239999999999998</v>
      </c>
      <c r="E6" s="4">
        <v>23.23</v>
      </c>
      <c r="I6" s="1"/>
      <c r="J6" s="1"/>
      <c r="K6" s="1"/>
      <c r="L6" s="1"/>
      <c r="M6" s="1"/>
      <c r="N6" s="1"/>
      <c r="O6" s="1"/>
      <c r="P6" s="1"/>
    </row>
    <row r="7" spans="1:16">
      <c r="A7" s="68" t="s">
        <v>123</v>
      </c>
      <c r="B7" s="9"/>
      <c r="C7" s="9"/>
      <c r="D7" s="6">
        <v>56.3</v>
      </c>
      <c r="E7" s="4">
        <v>158.36000000000001</v>
      </c>
      <c r="I7" s="1"/>
      <c r="J7" s="1"/>
      <c r="K7" s="1"/>
      <c r="L7" s="1"/>
      <c r="M7" s="1"/>
      <c r="N7" s="1"/>
      <c r="O7" s="1"/>
      <c r="P7" s="1"/>
    </row>
    <row r="8" spans="1:16">
      <c r="A8" s="68" t="s">
        <v>112</v>
      </c>
      <c r="B8" s="6">
        <v>4.25</v>
      </c>
      <c r="C8" s="6">
        <v>2.0499999999999998</v>
      </c>
      <c r="D8" s="6">
        <f t="shared" ref="D8" si="2">2*(B8+C8)</f>
        <v>12.6</v>
      </c>
      <c r="E8" s="4">
        <f t="shared" ref="E8" si="3">B8*C8</f>
        <v>8.7124999999999986</v>
      </c>
      <c r="I8" s="1"/>
      <c r="J8" s="1"/>
      <c r="K8" s="1"/>
      <c r="L8" s="1"/>
      <c r="M8" s="1"/>
      <c r="N8" s="1"/>
      <c r="O8" s="1"/>
      <c r="P8" s="1"/>
    </row>
    <row r="9" spans="1:16">
      <c r="A9" s="68" t="s">
        <v>124</v>
      </c>
      <c r="B9" s="9"/>
      <c r="C9" s="9"/>
      <c r="D9" s="6">
        <v>23.2</v>
      </c>
      <c r="E9" s="4">
        <v>24.47</v>
      </c>
      <c r="I9" s="1"/>
      <c r="J9" s="1"/>
      <c r="K9" s="1"/>
      <c r="L9" s="1"/>
      <c r="M9" s="1"/>
      <c r="N9" s="1"/>
      <c r="O9" s="1"/>
      <c r="P9" s="1"/>
    </row>
    <row r="10" spans="1:16">
      <c r="A10" s="68" t="s">
        <v>116</v>
      </c>
      <c r="B10" s="6">
        <v>2.17</v>
      </c>
      <c r="C10" s="6">
        <v>4.5</v>
      </c>
      <c r="D10" s="6">
        <f t="shared" ref="D10:D11" si="4">2*(B10+C10)</f>
        <v>13.34</v>
      </c>
      <c r="E10" s="4">
        <f t="shared" ref="E10:E11" si="5">B10*C10</f>
        <v>9.7650000000000006</v>
      </c>
      <c r="I10" s="1"/>
      <c r="J10" s="1"/>
      <c r="K10" s="1"/>
      <c r="L10" s="1"/>
      <c r="M10" s="1"/>
      <c r="N10" s="1"/>
      <c r="O10" s="1"/>
      <c r="P10" s="1"/>
    </row>
    <row r="11" spans="1:16">
      <c r="A11" s="68" t="s">
        <v>125</v>
      </c>
      <c r="B11" s="6">
        <v>7</v>
      </c>
      <c r="C11" s="6">
        <v>3.45</v>
      </c>
      <c r="D11" s="6">
        <f t="shared" si="4"/>
        <v>20.9</v>
      </c>
      <c r="E11" s="4">
        <f t="shared" si="5"/>
        <v>24.150000000000002</v>
      </c>
      <c r="I11" s="1"/>
      <c r="J11" s="1"/>
      <c r="K11" s="1"/>
      <c r="L11" s="1"/>
      <c r="M11" s="1"/>
      <c r="N11" s="1"/>
      <c r="O11" s="1"/>
      <c r="P11" s="1"/>
    </row>
    <row r="12" spans="1:16">
      <c r="A12" s="68" t="s">
        <v>4</v>
      </c>
      <c r="B12" s="9"/>
      <c r="C12" s="9"/>
      <c r="D12" s="6">
        <v>125.2</v>
      </c>
      <c r="E12" s="4">
        <v>132.88</v>
      </c>
      <c r="I12" s="1"/>
      <c r="J12" s="1"/>
      <c r="K12" s="1"/>
      <c r="L12" s="1"/>
      <c r="M12" s="1"/>
      <c r="N12" s="1"/>
      <c r="O12" s="1"/>
      <c r="P12" s="1"/>
    </row>
    <row r="13" spans="1:16">
      <c r="A13" s="68" t="s">
        <v>126</v>
      </c>
      <c r="B13" s="9"/>
      <c r="C13" s="9"/>
      <c r="D13" s="6">
        <v>17.71</v>
      </c>
      <c r="E13" s="4">
        <v>13.66</v>
      </c>
      <c r="I13" s="1"/>
      <c r="J13" s="1"/>
      <c r="K13" s="1"/>
      <c r="L13" s="1"/>
      <c r="M13" s="1"/>
      <c r="N13" s="1"/>
      <c r="O13" s="1"/>
      <c r="P13" s="1"/>
    </row>
    <row r="14" spans="1:16">
      <c r="A14" s="68" t="s">
        <v>127</v>
      </c>
      <c r="B14" s="9"/>
      <c r="C14" s="9"/>
      <c r="D14" s="6">
        <v>17.71</v>
      </c>
      <c r="E14" s="4">
        <v>13.66</v>
      </c>
      <c r="I14" s="1"/>
      <c r="J14" s="1"/>
      <c r="K14" s="1"/>
      <c r="L14" s="1"/>
      <c r="M14" s="1"/>
      <c r="N14" s="1"/>
      <c r="O14" s="1"/>
      <c r="P14" s="1"/>
    </row>
    <row r="15" spans="1:16">
      <c r="A15" s="68" t="s">
        <v>128</v>
      </c>
      <c r="B15" s="9"/>
      <c r="C15" s="9"/>
      <c r="D15" s="6">
        <v>58.94</v>
      </c>
      <c r="E15" s="4">
        <v>159.72999999999999</v>
      </c>
      <c r="I15" s="1"/>
      <c r="J15" s="1"/>
      <c r="K15" s="1"/>
      <c r="L15" s="1"/>
      <c r="M15" s="1"/>
      <c r="N15" s="1"/>
      <c r="O15" s="1"/>
      <c r="P15" s="1"/>
    </row>
    <row r="16" spans="1:16">
      <c r="A16" s="68" t="s">
        <v>129</v>
      </c>
      <c r="B16" s="6">
        <v>4.55</v>
      </c>
      <c r="C16" s="6">
        <v>2.75</v>
      </c>
      <c r="D16" s="6">
        <f t="shared" ref="D16:D18" si="6">2*(B16+C16)</f>
        <v>14.6</v>
      </c>
      <c r="E16" s="4">
        <f t="shared" ref="E16:E18" si="7">B16*C16</f>
        <v>12.512499999999999</v>
      </c>
      <c r="I16" s="1"/>
      <c r="J16" s="1"/>
      <c r="K16" s="1"/>
      <c r="L16" s="1"/>
      <c r="M16" s="1"/>
      <c r="N16" s="1"/>
      <c r="O16" s="1"/>
      <c r="P16" s="1"/>
    </row>
    <row r="17" spans="1:16">
      <c r="A17" s="68" t="s">
        <v>115</v>
      </c>
      <c r="B17" s="6">
        <v>5.0999999999999996</v>
      </c>
      <c r="C17" s="6">
        <v>4.0199999999999996</v>
      </c>
      <c r="D17" s="6">
        <f t="shared" si="6"/>
        <v>18.239999999999998</v>
      </c>
      <c r="E17" s="4">
        <f t="shared" si="7"/>
        <v>20.501999999999995</v>
      </c>
      <c r="I17" s="1"/>
      <c r="J17" s="1"/>
      <c r="K17" s="1"/>
      <c r="L17" s="1"/>
      <c r="M17" s="1"/>
      <c r="N17" s="1"/>
      <c r="O17" s="1"/>
      <c r="P17" s="1"/>
    </row>
    <row r="18" spans="1:16">
      <c r="A18" s="68" t="s">
        <v>111</v>
      </c>
      <c r="B18" s="6">
        <v>1.85</v>
      </c>
      <c r="C18" s="6">
        <v>4.5</v>
      </c>
      <c r="D18" s="6">
        <f t="shared" si="6"/>
        <v>12.7</v>
      </c>
      <c r="E18" s="4">
        <f t="shared" si="7"/>
        <v>8.3250000000000011</v>
      </c>
      <c r="I18" s="1"/>
      <c r="J18" s="1"/>
      <c r="K18" s="1"/>
      <c r="L18" s="1"/>
      <c r="M18" s="1"/>
      <c r="N18" s="1"/>
      <c r="O18" s="1"/>
      <c r="P18" s="1"/>
    </row>
    <row r="19" spans="1:16">
      <c r="A19" s="68" t="s">
        <v>130</v>
      </c>
      <c r="B19" s="9"/>
      <c r="C19" s="9"/>
      <c r="D19" s="6">
        <v>60.44</v>
      </c>
      <c r="E19" s="4">
        <v>149.12</v>
      </c>
      <c r="I19" s="1"/>
      <c r="J19" s="1"/>
      <c r="K19" s="1"/>
      <c r="L19" s="1"/>
      <c r="M19" s="1"/>
      <c r="N19" s="1"/>
      <c r="O19" s="1"/>
      <c r="P19" s="1"/>
    </row>
    <row r="20" spans="1:16">
      <c r="A20" s="68" t="s">
        <v>117</v>
      </c>
      <c r="B20" s="6">
        <v>1.95</v>
      </c>
      <c r="C20" s="6">
        <v>2.5</v>
      </c>
      <c r="D20" s="6">
        <f t="shared" ref="D20:D35" si="8">2*(B20+C20)</f>
        <v>8.9</v>
      </c>
      <c r="E20" s="4">
        <f t="shared" ref="E20:E35" si="9">B20*C20</f>
        <v>4.875</v>
      </c>
      <c r="I20" s="1"/>
      <c r="J20" s="1"/>
      <c r="K20" s="1"/>
      <c r="L20" s="1"/>
      <c r="M20" s="1"/>
      <c r="N20" s="1"/>
      <c r="O20" s="1"/>
      <c r="P20" s="1"/>
    </row>
    <row r="21" spans="1:16">
      <c r="A21" s="68" t="s">
        <v>117</v>
      </c>
      <c r="B21" s="6">
        <v>1.95</v>
      </c>
      <c r="C21" s="6">
        <v>2.5</v>
      </c>
      <c r="D21" s="6">
        <f t="shared" si="8"/>
        <v>8.9</v>
      </c>
      <c r="E21" s="4">
        <f t="shared" si="9"/>
        <v>4.875</v>
      </c>
      <c r="I21" s="1"/>
      <c r="J21" s="1"/>
      <c r="K21" s="1"/>
      <c r="L21" s="1"/>
      <c r="M21" s="1"/>
      <c r="N21" s="1"/>
      <c r="O21" s="1"/>
      <c r="P21" s="1"/>
    </row>
    <row r="22" spans="1:16">
      <c r="A22" s="68" t="s">
        <v>116</v>
      </c>
      <c r="B22" s="6">
        <v>1.95</v>
      </c>
      <c r="C22" s="6">
        <v>3.83</v>
      </c>
      <c r="D22" s="6">
        <f t="shared" si="8"/>
        <v>11.56</v>
      </c>
      <c r="E22" s="4">
        <f t="shared" si="9"/>
        <v>7.4684999999999997</v>
      </c>
      <c r="I22" s="1"/>
      <c r="J22" s="1"/>
      <c r="K22" s="1"/>
      <c r="L22" s="1"/>
      <c r="M22" s="1"/>
      <c r="N22" s="1"/>
      <c r="O22" s="1"/>
      <c r="P22" s="1"/>
    </row>
    <row r="23" spans="1:16">
      <c r="A23" s="68" t="s">
        <v>117</v>
      </c>
      <c r="B23" s="6">
        <v>2.35</v>
      </c>
      <c r="C23" s="6">
        <v>1.8</v>
      </c>
      <c r="D23" s="6">
        <f t="shared" si="8"/>
        <v>8.3000000000000007</v>
      </c>
      <c r="E23" s="4">
        <f t="shared" si="9"/>
        <v>4.2300000000000004</v>
      </c>
      <c r="I23" s="1"/>
      <c r="J23" s="1"/>
      <c r="K23" s="1"/>
      <c r="L23" s="1"/>
      <c r="M23" s="1"/>
      <c r="N23" s="1"/>
      <c r="O23" s="1"/>
      <c r="P23" s="1"/>
    </row>
    <row r="24" spans="1:16">
      <c r="A24" s="68" t="s">
        <v>117</v>
      </c>
      <c r="B24" s="6">
        <v>2.35</v>
      </c>
      <c r="C24" s="6">
        <v>1.8</v>
      </c>
      <c r="D24" s="6">
        <f t="shared" si="8"/>
        <v>8.3000000000000007</v>
      </c>
      <c r="E24" s="4">
        <f t="shared" si="9"/>
        <v>4.2300000000000004</v>
      </c>
      <c r="I24" s="1"/>
      <c r="J24" s="1"/>
      <c r="K24" s="1"/>
      <c r="L24" s="1"/>
      <c r="M24" s="1"/>
      <c r="N24" s="1"/>
      <c r="O24" s="1"/>
      <c r="P24" s="1"/>
    </row>
    <row r="25" spans="1:16">
      <c r="A25" s="68" t="s">
        <v>116</v>
      </c>
      <c r="B25" s="6">
        <v>1.9</v>
      </c>
      <c r="C25" s="6">
        <v>3.6</v>
      </c>
      <c r="D25" s="6">
        <f t="shared" si="8"/>
        <v>11</v>
      </c>
      <c r="E25" s="4">
        <f t="shared" si="9"/>
        <v>6.84</v>
      </c>
      <c r="I25" s="1"/>
      <c r="J25" s="1"/>
      <c r="K25" s="1"/>
      <c r="L25" s="1"/>
      <c r="M25" s="1"/>
      <c r="N25" s="1"/>
      <c r="O25" s="1"/>
      <c r="P25" s="1"/>
    </row>
    <row r="26" spans="1:16">
      <c r="A26" s="68" t="s">
        <v>117</v>
      </c>
      <c r="B26" s="6">
        <v>2.35</v>
      </c>
      <c r="C26" s="6">
        <v>1.95</v>
      </c>
      <c r="D26" s="6">
        <f t="shared" si="8"/>
        <v>8.6</v>
      </c>
      <c r="E26" s="4">
        <f t="shared" si="9"/>
        <v>4.5825000000000005</v>
      </c>
      <c r="I26" s="1"/>
      <c r="J26" s="1"/>
      <c r="K26" s="1"/>
      <c r="L26" s="1"/>
      <c r="M26" s="1"/>
      <c r="N26" s="1"/>
      <c r="O26" s="1"/>
      <c r="P26" s="1"/>
    </row>
    <row r="27" spans="1:16">
      <c r="A27" s="68" t="s">
        <v>5</v>
      </c>
      <c r="B27" s="6">
        <v>1.6</v>
      </c>
      <c r="C27" s="6">
        <v>2.35</v>
      </c>
      <c r="D27" s="6">
        <f t="shared" si="8"/>
        <v>7.9</v>
      </c>
      <c r="E27" s="4">
        <f t="shared" si="9"/>
        <v>3.7600000000000002</v>
      </c>
      <c r="I27" s="1"/>
      <c r="J27" s="1"/>
      <c r="K27" s="1"/>
      <c r="L27" s="1"/>
      <c r="M27" s="1"/>
      <c r="N27" s="1"/>
      <c r="O27" s="1"/>
      <c r="P27" s="1"/>
    </row>
    <row r="28" spans="1:16">
      <c r="A28" s="68" t="s">
        <v>117</v>
      </c>
      <c r="B28" s="6">
        <v>1.8</v>
      </c>
      <c r="C28" s="6">
        <v>2.35</v>
      </c>
      <c r="D28" s="6">
        <f t="shared" si="8"/>
        <v>8.3000000000000007</v>
      </c>
      <c r="E28" s="4">
        <f t="shared" si="9"/>
        <v>4.2300000000000004</v>
      </c>
      <c r="I28" s="1"/>
      <c r="J28" s="1"/>
      <c r="K28" s="1"/>
      <c r="L28" s="1"/>
      <c r="M28" s="1"/>
      <c r="N28" s="1"/>
      <c r="O28" s="1"/>
      <c r="P28" s="1"/>
    </row>
    <row r="29" spans="1:16">
      <c r="A29" s="68" t="s">
        <v>117</v>
      </c>
      <c r="B29" s="6">
        <v>1.8</v>
      </c>
      <c r="C29" s="6">
        <v>1.8</v>
      </c>
      <c r="D29" s="6">
        <f t="shared" si="8"/>
        <v>7.2</v>
      </c>
      <c r="E29" s="4">
        <f t="shared" si="9"/>
        <v>3.24</v>
      </c>
      <c r="I29" s="1"/>
      <c r="J29" s="1"/>
      <c r="K29" s="1"/>
      <c r="L29" s="1"/>
      <c r="M29" s="1"/>
      <c r="N29" s="1"/>
      <c r="O29" s="1"/>
      <c r="P29" s="1"/>
    </row>
    <row r="30" spans="1:16">
      <c r="A30" s="68" t="s">
        <v>117</v>
      </c>
      <c r="B30" s="6">
        <v>1.8</v>
      </c>
      <c r="C30" s="6">
        <v>1.8</v>
      </c>
      <c r="D30" s="6">
        <f t="shared" si="8"/>
        <v>7.2</v>
      </c>
      <c r="E30" s="4">
        <f t="shared" si="9"/>
        <v>3.24</v>
      </c>
      <c r="I30" s="1"/>
      <c r="J30" s="1"/>
      <c r="K30" s="1"/>
      <c r="L30" s="1"/>
      <c r="M30" s="1"/>
      <c r="N30" s="1"/>
      <c r="O30" s="1"/>
      <c r="P30" s="1"/>
    </row>
    <row r="31" spans="1:16">
      <c r="A31" s="68" t="s">
        <v>117</v>
      </c>
      <c r="B31" s="6">
        <v>2.8</v>
      </c>
      <c r="C31" s="6">
        <v>1.8</v>
      </c>
      <c r="D31" s="6">
        <f t="shared" si="8"/>
        <v>9.1999999999999993</v>
      </c>
      <c r="E31" s="4">
        <f t="shared" si="9"/>
        <v>5.04</v>
      </c>
      <c r="I31" s="1"/>
      <c r="J31" s="1"/>
      <c r="K31" s="1"/>
      <c r="L31" s="1"/>
      <c r="M31" s="1"/>
      <c r="N31" s="1"/>
      <c r="O31" s="1"/>
      <c r="P31" s="1"/>
    </row>
    <row r="32" spans="1:16">
      <c r="A32" s="68" t="s">
        <v>117</v>
      </c>
      <c r="B32" s="6">
        <v>2.8</v>
      </c>
      <c r="C32" s="6">
        <v>1.8</v>
      </c>
      <c r="D32" s="6">
        <f t="shared" si="8"/>
        <v>9.1999999999999993</v>
      </c>
      <c r="E32" s="4">
        <f t="shared" si="9"/>
        <v>5.04</v>
      </c>
      <c r="I32" s="1"/>
      <c r="J32" s="1"/>
      <c r="K32" s="1"/>
      <c r="L32" s="1"/>
      <c r="M32" s="1"/>
      <c r="N32" s="1"/>
      <c r="O32" s="1"/>
      <c r="P32" s="1"/>
    </row>
    <row r="33" spans="1:16">
      <c r="A33" s="68" t="s">
        <v>113</v>
      </c>
      <c r="B33" s="6">
        <v>1.6</v>
      </c>
      <c r="C33" s="6">
        <v>3.75</v>
      </c>
      <c r="D33" s="6">
        <f t="shared" si="8"/>
        <v>10.7</v>
      </c>
      <c r="E33" s="4">
        <f t="shared" si="9"/>
        <v>6</v>
      </c>
      <c r="I33" s="1"/>
      <c r="J33" s="1"/>
      <c r="K33" s="1"/>
      <c r="L33" s="1"/>
      <c r="M33" s="1"/>
      <c r="N33" s="1"/>
      <c r="O33" s="1"/>
      <c r="P33" s="1"/>
    </row>
    <row r="34" spans="1:16">
      <c r="A34" s="68" t="s">
        <v>117</v>
      </c>
      <c r="B34" s="6">
        <v>2</v>
      </c>
      <c r="C34" s="6">
        <v>3.35</v>
      </c>
      <c r="D34" s="6">
        <f t="shared" si="8"/>
        <v>10.7</v>
      </c>
      <c r="E34" s="4">
        <f t="shared" si="9"/>
        <v>6.7</v>
      </c>
      <c r="I34" s="1"/>
      <c r="J34" s="1"/>
      <c r="K34" s="1"/>
      <c r="L34" s="1"/>
      <c r="M34" s="1"/>
      <c r="N34" s="1"/>
      <c r="O34" s="1"/>
      <c r="P34" s="1"/>
    </row>
    <row r="35" spans="1:16">
      <c r="A35" s="68" t="s">
        <v>117</v>
      </c>
      <c r="B35" s="6">
        <v>2</v>
      </c>
      <c r="C35" s="6">
        <v>3.35</v>
      </c>
      <c r="D35" s="6">
        <f t="shared" si="8"/>
        <v>10.7</v>
      </c>
      <c r="E35" s="4">
        <f t="shared" si="9"/>
        <v>6.7</v>
      </c>
      <c r="I35" s="1"/>
      <c r="J35" s="1"/>
      <c r="K35" s="1"/>
      <c r="L35" s="1"/>
      <c r="M35" s="1"/>
      <c r="N35" s="1"/>
      <c r="O35" s="1"/>
      <c r="P35" s="1"/>
    </row>
    <row r="36" spans="1:16">
      <c r="A36" s="68" t="s">
        <v>118</v>
      </c>
      <c r="B36" s="9"/>
      <c r="C36" s="9"/>
      <c r="D36" s="6">
        <v>27.06</v>
      </c>
      <c r="E36" s="4">
        <f>37.07+(21*2.2*0.18)</f>
        <v>45.386000000000003</v>
      </c>
      <c r="I36" s="1"/>
      <c r="J36" s="1"/>
      <c r="K36" s="1"/>
      <c r="L36" s="1"/>
      <c r="M36" s="1"/>
      <c r="N36" s="1"/>
      <c r="O36" s="1"/>
      <c r="P36" s="1"/>
    </row>
    <row r="37" spans="1:16">
      <c r="A37" s="68" t="s">
        <v>119</v>
      </c>
      <c r="B37" s="9"/>
      <c r="C37" s="9"/>
      <c r="D37" s="6">
        <v>25.76</v>
      </c>
      <c r="E37" s="4">
        <f>35.11+(21*2.2*0.18)</f>
        <v>43.426000000000002</v>
      </c>
      <c r="I37" s="1"/>
      <c r="J37" s="1"/>
      <c r="K37" s="1"/>
      <c r="L37" s="1"/>
      <c r="M37" s="1"/>
      <c r="N37" s="1"/>
      <c r="O37" s="1"/>
      <c r="P37" s="1"/>
    </row>
    <row r="38" spans="1:16" hidden="1"/>
    <row r="39" spans="1:16" hidden="1"/>
    <row r="40" spans="1:16" hidden="1"/>
    <row r="41" spans="1:16" hidden="1">
      <c r="B41" s="58"/>
    </row>
    <row r="42" spans="1:16" hidden="1"/>
    <row r="43" spans="1:16" hidden="1"/>
    <row r="44" spans="1:16" hidden="1"/>
    <row r="45" spans="1:16" hidden="1"/>
    <row r="46" spans="1:16" hidden="1"/>
    <row r="47" spans="1:16" hidden="1"/>
    <row r="48" spans="1:16" hidden="1"/>
    <row r="49" spans="1:3" hidden="1"/>
    <row r="50" spans="1:3" hidden="1"/>
    <row r="51" spans="1:3" hidden="1"/>
    <row r="52" spans="1:3" hidden="1"/>
    <row r="53" spans="1:3" hidden="1"/>
    <row r="54" spans="1:3" hidden="1"/>
    <row r="57" spans="1:3">
      <c r="A57" s="13" t="s">
        <v>83</v>
      </c>
      <c r="B57" s="163">
        <f>SUM(E3:E37)</f>
        <v>1249.4874999999997</v>
      </c>
      <c r="C57" s="164"/>
    </row>
    <row r="58" spans="1:3" hidden="1">
      <c r="A58" s="5" t="s">
        <v>359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scale="81" orientation="landscape" r:id="rId1"/>
  <headerFooter>
    <oddHeader>&amp;A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36"/>
  <sheetViews>
    <sheetView zoomScale="85" zoomScaleNormal="85" zoomScaleSheetLayoutView="85" workbookViewId="0">
      <pane ySplit="4" topLeftCell="A5" activePane="bottomLeft" state="frozenSplit"/>
      <selection pane="bottomLeft" activeCell="D44" sqref="D4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1" t="s">
        <v>298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3"/>
    </row>
    <row r="2" spans="1:38" s="3" customFormat="1">
      <c r="A2" s="12" t="s">
        <v>21</v>
      </c>
      <c r="D2" s="154" t="s">
        <v>6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</row>
    <row r="3" spans="1:38" s="3" customFormat="1">
      <c r="A3" s="46">
        <f>Memória!A2</f>
        <v>3.4</v>
      </c>
      <c r="D3" s="157" t="s">
        <v>9</v>
      </c>
      <c r="E3" s="158"/>
      <c r="F3" s="157" t="s">
        <v>12</v>
      </c>
      <c r="G3" s="158"/>
      <c r="H3" s="157" t="s">
        <v>13</v>
      </c>
      <c r="I3" s="158"/>
      <c r="J3" s="157" t="s">
        <v>14</v>
      </c>
      <c r="K3" s="158"/>
      <c r="L3" s="157" t="s">
        <v>15</v>
      </c>
      <c r="M3" s="158"/>
      <c r="N3" s="157" t="s">
        <v>16</v>
      </c>
      <c r="O3" s="158"/>
      <c r="P3" s="157" t="s">
        <v>17</v>
      </c>
      <c r="Q3" s="158"/>
      <c r="R3" s="154" t="s">
        <v>18</v>
      </c>
      <c r="S3" s="154"/>
      <c r="T3" s="154" t="s">
        <v>19</v>
      </c>
      <c r="U3" s="154"/>
      <c r="V3" s="154" t="s">
        <v>20</v>
      </c>
      <c r="W3" s="154"/>
      <c r="X3" s="154" t="s">
        <v>22</v>
      </c>
      <c r="Y3" s="154"/>
      <c r="Z3" s="154" t="s">
        <v>23</v>
      </c>
      <c r="AA3" s="154"/>
    </row>
    <row r="4" spans="1:38" ht="30" customHeight="1">
      <c r="A4" s="1"/>
      <c r="B4" s="18" t="s">
        <v>26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57" t="s">
        <v>27</v>
      </c>
      <c r="B5" s="7">
        <v>16.350000000000001</v>
      </c>
      <c r="C5" s="81">
        <f t="shared" ref="C5:C15" si="0">(B5*$A$3)-((D5*E5)+(F5*G5)+(H5*I5)+(J5*K5)+(L5*M5)+(N5*O5)+(P5*Q5)+(R5*S5)+(T5*U5)+(V5*W5)+(X5*Y5)+(Z5*AA5))</f>
        <v>47.59</v>
      </c>
      <c r="D5" s="78">
        <v>2</v>
      </c>
      <c r="E5" s="79">
        <v>1</v>
      </c>
      <c r="F5" s="78">
        <v>2</v>
      </c>
      <c r="G5" s="79">
        <v>1</v>
      </c>
      <c r="H5" s="78">
        <v>2</v>
      </c>
      <c r="I5" s="79">
        <v>1</v>
      </c>
      <c r="J5" s="78">
        <v>2</v>
      </c>
      <c r="K5" s="79">
        <v>1</v>
      </c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E5" s="1"/>
      <c r="AF5" s="1"/>
      <c r="AG5" s="1"/>
      <c r="AH5" s="1"/>
      <c r="AI5" s="1"/>
      <c r="AJ5" s="1"/>
      <c r="AK5" s="1"/>
      <c r="AL5" s="1"/>
    </row>
    <row r="6" spans="1:38">
      <c r="A6" s="57" t="s">
        <v>28</v>
      </c>
      <c r="B6" s="7">
        <v>23.25</v>
      </c>
      <c r="C6" s="81">
        <f t="shared" si="0"/>
        <v>64.899999999999991</v>
      </c>
      <c r="D6" s="78">
        <v>1</v>
      </c>
      <c r="E6" s="79">
        <v>0.8</v>
      </c>
      <c r="F6" s="78">
        <v>2.75</v>
      </c>
      <c r="G6" s="79">
        <v>1</v>
      </c>
      <c r="H6" s="78">
        <v>1</v>
      </c>
      <c r="I6" s="79">
        <v>0.8</v>
      </c>
      <c r="J6" s="78">
        <v>3</v>
      </c>
      <c r="K6" s="79">
        <v>1</v>
      </c>
      <c r="L6" s="78">
        <v>1</v>
      </c>
      <c r="M6" s="79">
        <v>0.8</v>
      </c>
      <c r="N6" s="78">
        <v>3</v>
      </c>
      <c r="O6" s="79">
        <v>1</v>
      </c>
      <c r="P6" s="78">
        <v>3</v>
      </c>
      <c r="Q6" s="79">
        <v>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E6" s="1"/>
      <c r="AF6" s="1"/>
      <c r="AI6" s="1"/>
      <c r="AJ6" s="1"/>
    </row>
    <row r="7" spans="1:38">
      <c r="A7" s="57" t="s">
        <v>32</v>
      </c>
      <c r="B7" s="7">
        <v>20.93</v>
      </c>
      <c r="C7" s="81">
        <f t="shared" si="0"/>
        <v>63.981999999999992</v>
      </c>
      <c r="D7" s="78">
        <v>2.75</v>
      </c>
      <c r="E7" s="79">
        <v>1</v>
      </c>
      <c r="F7" s="78">
        <v>2.75</v>
      </c>
      <c r="G7" s="79">
        <v>1</v>
      </c>
      <c r="H7" s="63"/>
      <c r="I7" s="64"/>
      <c r="J7" s="63"/>
      <c r="K7" s="64"/>
      <c r="L7" s="78">
        <v>0.8</v>
      </c>
      <c r="M7" s="79">
        <v>2.1</v>
      </c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E7" s="1"/>
      <c r="AF7" s="1"/>
      <c r="AG7" s="1"/>
      <c r="AH7" s="1"/>
      <c r="AI7" s="1"/>
      <c r="AJ7" s="1"/>
      <c r="AK7" s="1"/>
      <c r="AL7" s="1"/>
    </row>
    <row r="8" spans="1:38">
      <c r="A8" s="57" t="s">
        <v>36</v>
      </c>
      <c r="B8" s="7">
        <v>1.9</v>
      </c>
      <c r="C8" s="81">
        <f t="shared" si="0"/>
        <v>3.6669999999999998</v>
      </c>
      <c r="D8" s="63"/>
      <c r="E8" s="64"/>
      <c r="F8" s="63"/>
      <c r="G8" s="64"/>
      <c r="H8" s="63"/>
      <c r="I8" s="64"/>
      <c r="J8" s="63"/>
      <c r="K8" s="64"/>
      <c r="L8" s="78">
        <v>1.33</v>
      </c>
      <c r="M8" s="79">
        <v>2.1</v>
      </c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E8" s="1"/>
      <c r="AF8" s="1"/>
      <c r="AG8" s="1"/>
      <c r="AH8" s="1"/>
      <c r="AI8" s="1"/>
      <c r="AJ8" s="1"/>
      <c r="AK8" s="1"/>
      <c r="AL8" s="1"/>
    </row>
    <row r="9" spans="1:38">
      <c r="A9" s="57" t="s">
        <v>38</v>
      </c>
      <c r="B9" s="7">
        <v>8.68</v>
      </c>
      <c r="C9" s="81">
        <f t="shared" si="0"/>
        <v>29.511999999999997</v>
      </c>
      <c r="D9" s="63"/>
      <c r="E9" s="64"/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E9" s="1"/>
      <c r="AF9" s="1"/>
      <c r="AG9" s="1"/>
      <c r="AH9" s="1"/>
      <c r="AI9" s="1"/>
      <c r="AJ9" s="1"/>
      <c r="AK9" s="1"/>
      <c r="AL9" s="1"/>
    </row>
    <row r="10" spans="1:38">
      <c r="A10" s="57" t="s">
        <v>39</v>
      </c>
      <c r="B10" s="7">
        <v>6.6</v>
      </c>
      <c r="C10" s="81">
        <f t="shared" si="0"/>
        <v>16.349999999999998</v>
      </c>
      <c r="D10" s="63"/>
      <c r="E10" s="64"/>
      <c r="F10" s="63"/>
      <c r="G10" s="64"/>
      <c r="H10" s="63"/>
      <c r="I10" s="64"/>
      <c r="J10" s="63"/>
      <c r="K10" s="64"/>
      <c r="L10" s="78">
        <v>2.1</v>
      </c>
      <c r="M10" s="79">
        <v>2.1</v>
      </c>
      <c r="N10" s="78">
        <v>0.8</v>
      </c>
      <c r="O10" s="79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E10" s="1"/>
      <c r="AF10" s="1"/>
      <c r="AG10" s="1"/>
      <c r="AH10" s="1"/>
      <c r="AI10" s="1"/>
      <c r="AJ10" s="1"/>
      <c r="AK10" s="1"/>
      <c r="AL10" s="1"/>
    </row>
    <row r="11" spans="1:38">
      <c r="A11" s="57" t="s">
        <v>52</v>
      </c>
      <c r="B11" s="7">
        <v>14.5</v>
      </c>
      <c r="C11" s="81">
        <f t="shared" si="0"/>
        <v>35.4</v>
      </c>
      <c r="D11" s="78">
        <v>13.9</v>
      </c>
      <c r="E11" s="79">
        <v>1</v>
      </c>
      <c r="F11" s="63"/>
      <c r="G11" s="64"/>
      <c r="H11" s="63"/>
      <c r="I11" s="64"/>
      <c r="J11" s="63"/>
      <c r="K11" s="64"/>
      <c r="L11" s="63"/>
      <c r="M11" s="64"/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E11" s="1"/>
      <c r="AF11" s="1"/>
      <c r="AG11" s="1"/>
      <c r="AH11" s="1"/>
      <c r="AI11" s="1"/>
      <c r="AJ11" s="1"/>
      <c r="AK11" s="1"/>
      <c r="AL11" s="1"/>
    </row>
    <row r="12" spans="1:38">
      <c r="A12" s="57" t="s">
        <v>54</v>
      </c>
      <c r="B12" s="7">
        <v>1.65</v>
      </c>
      <c r="C12" s="81">
        <f t="shared" si="0"/>
        <v>5.6099999999999994</v>
      </c>
      <c r="D12" s="63"/>
      <c r="E12" s="64"/>
      <c r="F12" s="63"/>
      <c r="G12" s="64"/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E12" s="1"/>
      <c r="AF12" s="1"/>
      <c r="AG12" s="1"/>
      <c r="AH12" s="1"/>
      <c r="AI12" s="1"/>
      <c r="AJ12" s="1"/>
      <c r="AK12" s="1"/>
      <c r="AL12" s="1"/>
    </row>
    <row r="13" spans="1:38">
      <c r="A13" s="57" t="s">
        <v>55</v>
      </c>
      <c r="B13" s="7">
        <v>4.1500000000000004</v>
      </c>
      <c r="C13" s="81">
        <f t="shared" si="0"/>
        <v>9.9600000000000009</v>
      </c>
      <c r="D13" s="78">
        <v>4.1500000000000004</v>
      </c>
      <c r="E13" s="79">
        <v>1</v>
      </c>
      <c r="F13" s="63"/>
      <c r="G13" s="64"/>
      <c r="H13" s="63"/>
      <c r="I13" s="64"/>
      <c r="J13" s="63"/>
      <c r="K13" s="64"/>
      <c r="L13" s="63"/>
      <c r="M13" s="64"/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E13" s="1"/>
      <c r="AF13" s="1"/>
      <c r="AG13" s="1"/>
      <c r="AH13" s="1"/>
      <c r="AI13" s="1"/>
      <c r="AJ13" s="1"/>
      <c r="AK13" s="1"/>
      <c r="AL13" s="1"/>
    </row>
    <row r="14" spans="1:38">
      <c r="A14" s="57" t="s">
        <v>131</v>
      </c>
      <c r="B14" s="7">
        <v>12.4</v>
      </c>
      <c r="C14" s="81">
        <f t="shared" si="0"/>
        <v>31.709999999999997</v>
      </c>
      <c r="D14" s="78">
        <v>7.1</v>
      </c>
      <c r="E14" s="79">
        <v>1</v>
      </c>
      <c r="F14" s="78">
        <v>3.35</v>
      </c>
      <c r="G14" s="79">
        <v>1</v>
      </c>
      <c r="H14" s="63"/>
      <c r="I14" s="64"/>
      <c r="J14" s="63"/>
      <c r="K14" s="64"/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E14" s="1"/>
      <c r="AF14" s="1"/>
      <c r="AG14" s="1"/>
      <c r="AH14" s="1"/>
      <c r="AI14" s="1"/>
      <c r="AJ14" s="1"/>
      <c r="AK14" s="1"/>
      <c r="AL14" s="1"/>
    </row>
    <row r="15" spans="1:38" ht="15.75" thickBot="1">
      <c r="A15" s="57" t="s">
        <v>132</v>
      </c>
      <c r="B15" s="7">
        <v>11.55</v>
      </c>
      <c r="C15" s="81">
        <f t="shared" si="0"/>
        <v>27.720000000000002</v>
      </c>
      <c r="D15" s="78">
        <v>11.55</v>
      </c>
      <c r="E15" s="79">
        <v>1</v>
      </c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E15" s="1"/>
      <c r="AF15" s="1"/>
      <c r="AG15" s="1"/>
      <c r="AH15" s="1"/>
      <c r="AI15" s="1"/>
      <c r="AJ15" s="1"/>
      <c r="AK15" s="1"/>
      <c r="AL15" s="1"/>
    </row>
    <row r="16" spans="1:38">
      <c r="A16" s="92" t="s">
        <v>56</v>
      </c>
      <c r="B16" s="93">
        <v>29.57</v>
      </c>
      <c r="C16" s="94">
        <f t="shared" ref="C16:C25" si="1">(B16*$A$3)-((D16*E16)+(F16*G16)+(H16*I16)+(J16*K16)+(L16*M16)+(N16*O16)+(P16*Q16)+(R16*S16)+(T16*U16)+(V16*W16)+(X16*Y16)+(Z16*AA16))</f>
        <v>94.537999999999997</v>
      </c>
      <c r="D16" s="95">
        <v>2</v>
      </c>
      <c r="E16" s="96">
        <v>1</v>
      </c>
      <c r="F16" s="95">
        <v>2</v>
      </c>
      <c r="G16" s="96">
        <v>1</v>
      </c>
      <c r="H16" s="95">
        <v>2</v>
      </c>
      <c r="I16" s="96">
        <v>1</v>
      </c>
      <c r="J16" s="97"/>
      <c r="K16" s="98"/>
      <c r="L16" s="97"/>
      <c r="M16" s="98"/>
      <c r="N16" s="97"/>
      <c r="O16" s="98"/>
      <c r="P16" s="97"/>
      <c r="Q16" s="98"/>
      <c r="R16" s="97"/>
      <c r="S16" s="98"/>
      <c r="T16" s="97"/>
      <c r="U16" s="98"/>
      <c r="V16" s="97"/>
      <c r="W16" s="98"/>
      <c r="X16" s="97"/>
      <c r="Y16" s="98"/>
      <c r="Z16" s="97"/>
      <c r="AA16" s="98"/>
    </row>
    <row r="17" spans="1:27">
      <c r="A17" s="57" t="s">
        <v>62</v>
      </c>
      <c r="B17" s="7">
        <v>4.4000000000000004</v>
      </c>
      <c r="C17" s="81">
        <f t="shared" si="1"/>
        <v>14.96</v>
      </c>
      <c r="D17" s="63"/>
      <c r="E17" s="64"/>
      <c r="F17" s="63"/>
      <c r="G17" s="64"/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</row>
    <row r="18" spans="1:27">
      <c r="A18" s="57" t="s">
        <v>63</v>
      </c>
      <c r="B18" s="7">
        <v>3.55</v>
      </c>
      <c r="C18" s="81">
        <f t="shared" si="1"/>
        <v>12.069999999999999</v>
      </c>
      <c r="D18" s="63"/>
      <c r="E18" s="64"/>
      <c r="F18" s="63"/>
      <c r="G18" s="64"/>
      <c r="H18" s="63"/>
      <c r="I18" s="64"/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27">
      <c r="A19" s="57" t="s">
        <v>69</v>
      </c>
      <c r="B19" s="7">
        <v>3.45</v>
      </c>
      <c r="C19" s="81">
        <f t="shared" si="1"/>
        <v>11.73</v>
      </c>
      <c r="D19" s="63"/>
      <c r="E19" s="64"/>
      <c r="F19" s="63"/>
      <c r="G19" s="64"/>
      <c r="H19" s="63"/>
      <c r="I19" s="64"/>
      <c r="J19" s="63"/>
      <c r="K19" s="64"/>
      <c r="L19" s="63"/>
      <c r="M19" s="64"/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</row>
    <row r="20" spans="1:27">
      <c r="A20" s="57" t="s">
        <v>78</v>
      </c>
      <c r="B20" s="7">
        <v>5.0999999999999996</v>
      </c>
      <c r="C20" s="81">
        <f t="shared" si="1"/>
        <v>17.34</v>
      </c>
      <c r="D20" s="63"/>
      <c r="E20" s="64"/>
      <c r="F20" s="63"/>
      <c r="G20" s="64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</row>
    <row r="21" spans="1:27">
      <c r="A21" s="57" t="s">
        <v>81</v>
      </c>
      <c r="B21" s="7">
        <v>3.5</v>
      </c>
      <c r="C21" s="81">
        <f t="shared" si="1"/>
        <v>11.9</v>
      </c>
      <c r="D21" s="63"/>
      <c r="E21" s="64"/>
      <c r="F21" s="63"/>
      <c r="G21" s="64"/>
      <c r="H21" s="63"/>
      <c r="I21" s="64"/>
      <c r="J21" s="63"/>
      <c r="K21" s="64"/>
      <c r="L21" s="63"/>
      <c r="M21" s="64"/>
      <c r="N21" s="63"/>
      <c r="O21" s="64"/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</row>
    <row r="22" spans="1:27">
      <c r="A22" s="57" t="s">
        <v>134</v>
      </c>
      <c r="B22" s="7">
        <v>9.33</v>
      </c>
      <c r="C22" s="81">
        <f t="shared" si="1"/>
        <v>31.721999999999998</v>
      </c>
      <c r="D22" s="63"/>
      <c r="E22" s="64"/>
      <c r="F22" s="63"/>
      <c r="G22" s="64"/>
      <c r="H22" s="63"/>
      <c r="I22" s="64"/>
      <c r="J22" s="63"/>
      <c r="K22" s="64"/>
      <c r="L22" s="63"/>
      <c r="M22" s="64"/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</row>
    <row r="23" spans="1:27">
      <c r="A23" s="57" t="s">
        <v>136</v>
      </c>
      <c r="B23" s="7">
        <v>9.1300000000000008</v>
      </c>
      <c r="C23" s="81">
        <f t="shared" si="1"/>
        <v>31.042000000000002</v>
      </c>
      <c r="D23" s="63"/>
      <c r="E23" s="64"/>
      <c r="F23" s="63"/>
      <c r="G23" s="64"/>
      <c r="H23" s="63"/>
      <c r="I23" s="64"/>
      <c r="J23" s="63"/>
      <c r="K23" s="64"/>
      <c r="L23" s="63"/>
      <c r="M23" s="64"/>
      <c r="N23" s="63"/>
      <c r="O23" s="64"/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</row>
    <row r="24" spans="1:27">
      <c r="A24" s="57" t="s">
        <v>138</v>
      </c>
      <c r="B24" s="7">
        <v>14.8</v>
      </c>
      <c r="C24" s="81">
        <f t="shared" si="1"/>
        <v>50.32</v>
      </c>
      <c r="D24" s="63"/>
      <c r="E24" s="64"/>
      <c r="F24" s="63"/>
      <c r="G24" s="64"/>
      <c r="H24" s="63"/>
      <c r="I24" s="64"/>
      <c r="J24" s="63"/>
      <c r="K24" s="64"/>
      <c r="L24" s="63"/>
      <c r="M24" s="64"/>
      <c r="N24" s="63"/>
      <c r="O24" s="64"/>
      <c r="P24" s="63"/>
      <c r="Q24" s="64"/>
      <c r="R24" s="63"/>
      <c r="S24" s="64"/>
      <c r="T24" s="63"/>
      <c r="U24" s="64"/>
      <c r="V24" s="63"/>
      <c r="W24" s="64"/>
      <c r="X24" s="63"/>
      <c r="Y24" s="64"/>
      <c r="Z24" s="63"/>
      <c r="AA24" s="64"/>
    </row>
    <row r="25" spans="1:27">
      <c r="A25" s="57" t="s">
        <v>244</v>
      </c>
      <c r="B25" s="7">
        <f>6.69+7.58</f>
        <v>14.27</v>
      </c>
      <c r="C25" s="81">
        <f t="shared" si="1"/>
        <v>-25.106999999999999</v>
      </c>
      <c r="D25" s="78">
        <v>7.75</v>
      </c>
      <c r="E25" s="79">
        <v>9.5</v>
      </c>
      <c r="F25" s="63"/>
      <c r="G25" s="64"/>
      <c r="H25" s="63"/>
      <c r="I25" s="64"/>
      <c r="J25" s="63"/>
      <c r="K25" s="64"/>
      <c r="L25" s="63"/>
      <c r="M25" s="64"/>
      <c r="N25" s="63"/>
      <c r="O25" s="64"/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</row>
    <row r="27" spans="1:27">
      <c r="A27" s="45" t="s">
        <v>141</v>
      </c>
      <c r="B27" s="6">
        <v>15.75</v>
      </c>
      <c r="C27" s="4">
        <f>(B27*1.1)-((D27*E27)+(F27*G27)+(H27*I27)+(J27*K27)+(L27*M27)+(N27*O27)+(P27*Q27)+(R27*S27)+(T27*U27)+(V27*W27)+(X27*Y27)+(Z27*AA27))</f>
        <v>17.325000000000003</v>
      </c>
      <c r="D27" s="16"/>
      <c r="E27" s="17"/>
      <c r="F27" s="16"/>
      <c r="G27" s="17"/>
      <c r="H27" s="16"/>
      <c r="I27" s="17"/>
      <c r="J27" s="16"/>
      <c r="K27" s="17"/>
      <c r="L27" s="16"/>
      <c r="M27" s="17"/>
      <c r="N27" s="16"/>
      <c r="O27" s="17"/>
      <c r="P27" s="16"/>
      <c r="Q27" s="17"/>
      <c r="R27" s="16"/>
      <c r="S27" s="17"/>
      <c r="T27" s="16"/>
      <c r="U27" s="17"/>
      <c r="V27" s="16"/>
      <c r="W27" s="17"/>
      <c r="X27" s="16"/>
      <c r="Y27" s="17"/>
      <c r="Z27" s="16"/>
      <c r="AA27" s="17"/>
    </row>
    <row r="28" spans="1:27" hidden="1"/>
    <row r="29" spans="1:27" hidden="1"/>
    <row r="30" spans="1:27" ht="5.0999999999999996" hidden="1" customHeight="1"/>
    <row r="31" spans="1:27" hidden="1"/>
    <row r="32" spans="1:27" hidden="1"/>
    <row r="34" spans="1:3">
      <c r="A34" s="45" t="s">
        <v>83</v>
      </c>
      <c r="B34" s="155">
        <f>SUM(C5:C27)</f>
        <v>604.2410000000001</v>
      </c>
      <c r="C34" s="156"/>
    </row>
    <row r="35" spans="1:3" hidden="1">
      <c r="A35" s="5" t="s">
        <v>310</v>
      </c>
    </row>
    <row r="36" spans="1:3">
      <c r="A36" s="3" t="s">
        <v>245</v>
      </c>
    </row>
  </sheetData>
  <mergeCells count="15">
    <mergeCell ref="A1:AA1"/>
    <mergeCell ref="V3:W3"/>
    <mergeCell ref="X3:Y3"/>
    <mergeCell ref="Z3:AA3"/>
    <mergeCell ref="B34:C3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P6"/>
  <sheetViews>
    <sheetView zoomScale="85" zoomScaleNormal="85" workbookViewId="0">
      <selection activeCell="R33" sqref="R32:R3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54" t="s">
        <v>436</v>
      </c>
      <c r="B1" s="154"/>
      <c r="C1" s="154"/>
      <c r="D1" s="154"/>
      <c r="E1" s="154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144" t="s">
        <v>120</v>
      </c>
      <c r="B3" s="9"/>
      <c r="C3" s="9"/>
      <c r="D3" s="6">
        <v>43.6</v>
      </c>
      <c r="E3" s="4">
        <v>112.42</v>
      </c>
      <c r="I3" s="1"/>
      <c r="J3" s="1"/>
      <c r="M3" s="1"/>
      <c r="N3" s="1"/>
    </row>
    <row r="6" spans="1:16">
      <c r="A6" s="144" t="s">
        <v>83</v>
      </c>
      <c r="B6" s="155">
        <f>SUM(E3:E3)</f>
        <v>112.42</v>
      </c>
      <c r="C6" s="156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J9"/>
  <sheetViews>
    <sheetView zoomScale="85" zoomScaleNormal="85" workbookViewId="0">
      <selection activeCell="A9" sqref="A9:XFD9"/>
    </sheetView>
  </sheetViews>
  <sheetFormatPr defaultRowHeight="15"/>
  <cols>
    <col min="1" max="1" width="35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10">
      <c r="A1" s="154" t="s">
        <v>360</v>
      </c>
      <c r="B1" s="154"/>
    </row>
    <row r="2" spans="1:10" ht="15" customHeight="1">
      <c r="A2" s="1"/>
      <c r="B2" s="30" t="s">
        <v>87</v>
      </c>
      <c r="C2" s="1"/>
      <c r="D2" s="1"/>
      <c r="E2" s="1"/>
      <c r="F2" s="1"/>
      <c r="G2" s="1"/>
      <c r="H2" s="1"/>
      <c r="I2" s="1"/>
      <c r="J2" s="1"/>
    </row>
    <row r="3" spans="1:10">
      <c r="A3" s="131" t="s">
        <v>104</v>
      </c>
      <c r="B3" s="39">
        <v>0</v>
      </c>
      <c r="C3" s="1"/>
      <c r="D3" s="1"/>
      <c r="E3" s="1"/>
      <c r="F3" s="1"/>
      <c r="G3" s="1"/>
      <c r="H3" s="1"/>
      <c r="I3" s="1"/>
      <c r="J3" s="1"/>
    </row>
    <row r="4" spans="1:10" hidden="1"/>
    <row r="5" spans="1:10" hidden="1"/>
    <row r="8" spans="1:10">
      <c r="A8" s="131" t="s">
        <v>83</v>
      </c>
      <c r="B8" s="39">
        <f>B3</f>
        <v>0</v>
      </c>
    </row>
    <row r="9" spans="1:10" hidden="1">
      <c r="A9" s="5" t="s">
        <v>361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U29"/>
  <sheetViews>
    <sheetView zoomScale="85" zoomScaleNormal="85" zoomScaleSheetLayoutView="85" workbookViewId="0">
      <pane ySplit="4" topLeftCell="A5" activePane="bottomLeft" state="frozenSplit"/>
      <selection pane="bottomLeft" activeCell="A29" sqref="A29:XFD29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5" width="9.140625" style="5"/>
    <col min="16" max="16" width="15.7109375" style="5" customWidth="1"/>
    <col min="17" max="19" width="9.140625" style="5"/>
    <col min="20" max="20" width="15.7109375" style="5" customWidth="1"/>
    <col min="21" max="16384" width="9.140625" style="5"/>
  </cols>
  <sheetData>
    <row r="1" spans="1:21">
      <c r="A1" s="154" t="s">
        <v>362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21" s="3" customFormat="1">
      <c r="A2" s="12" t="s">
        <v>21</v>
      </c>
      <c r="C2" s="154" t="s">
        <v>6</v>
      </c>
      <c r="D2" s="154"/>
      <c r="E2" s="154"/>
      <c r="F2" s="154"/>
      <c r="G2" s="154"/>
      <c r="H2" s="154"/>
      <c r="I2" s="154"/>
      <c r="J2" s="154"/>
    </row>
    <row r="3" spans="1:21" s="3" customFormat="1">
      <c r="A3" s="46">
        <f>Memória!A2</f>
        <v>3.4</v>
      </c>
      <c r="C3" s="157" t="s">
        <v>15</v>
      </c>
      <c r="D3" s="158"/>
      <c r="E3" s="157" t="s">
        <v>16</v>
      </c>
      <c r="F3" s="158"/>
      <c r="G3" s="157" t="s">
        <v>17</v>
      </c>
      <c r="H3" s="158"/>
      <c r="I3" s="154" t="s">
        <v>23</v>
      </c>
      <c r="J3" s="154"/>
    </row>
    <row r="4" spans="1:21" ht="30" customHeight="1">
      <c r="A4" s="1"/>
      <c r="B4" s="30" t="s">
        <v>100</v>
      </c>
      <c r="C4" s="2" t="s">
        <v>10</v>
      </c>
      <c r="D4" s="2" t="s">
        <v>11</v>
      </c>
      <c r="E4" s="2" t="s">
        <v>10</v>
      </c>
      <c r="F4" s="2" t="s">
        <v>11</v>
      </c>
      <c r="G4" s="2" t="s">
        <v>10</v>
      </c>
      <c r="H4" s="2" t="s">
        <v>11</v>
      </c>
      <c r="I4" s="2" t="s">
        <v>10</v>
      </c>
      <c r="J4" s="2" t="s">
        <v>11</v>
      </c>
      <c r="N4" s="1"/>
      <c r="O4" s="1"/>
      <c r="P4" s="1"/>
      <c r="Q4" s="1"/>
      <c r="R4" s="1"/>
      <c r="S4" s="1"/>
      <c r="T4" s="1"/>
      <c r="U4" s="1"/>
    </row>
    <row r="5" spans="1:21">
      <c r="A5" s="74" t="s">
        <v>32</v>
      </c>
      <c r="B5" s="6">
        <f>C5+E5+G5+I5</f>
        <v>0.8</v>
      </c>
      <c r="C5" s="14">
        <v>0.8</v>
      </c>
      <c r="D5" s="15">
        <v>2.1</v>
      </c>
      <c r="E5" s="16"/>
      <c r="F5" s="17"/>
      <c r="G5" s="16"/>
      <c r="H5" s="17"/>
      <c r="I5" s="16"/>
      <c r="J5" s="17"/>
      <c r="K5" s="66"/>
      <c r="N5" s="1"/>
      <c r="O5" s="1"/>
      <c r="P5" s="1"/>
      <c r="Q5" s="1"/>
      <c r="R5" s="1"/>
      <c r="S5" s="1"/>
      <c r="T5" s="1"/>
      <c r="U5" s="1"/>
    </row>
    <row r="6" spans="1:21">
      <c r="A6" s="65" t="s">
        <v>36</v>
      </c>
      <c r="B6" s="6">
        <f>C6+E6+G6+I6</f>
        <v>1.33</v>
      </c>
      <c r="C6" s="14">
        <v>1.33</v>
      </c>
      <c r="D6" s="15">
        <v>2.1</v>
      </c>
      <c r="E6" s="16"/>
      <c r="F6" s="17"/>
      <c r="G6" s="16"/>
      <c r="H6" s="17"/>
      <c r="I6" s="16"/>
      <c r="J6" s="17"/>
      <c r="K6" s="66"/>
      <c r="N6" s="1"/>
      <c r="O6" s="1"/>
      <c r="P6" s="1"/>
      <c r="Q6" s="1"/>
      <c r="R6" s="1"/>
      <c r="S6" s="1"/>
      <c r="T6" s="1"/>
      <c r="U6" s="1"/>
    </row>
    <row r="7" spans="1:21">
      <c r="A7" s="65" t="s">
        <v>39</v>
      </c>
      <c r="B7" s="6">
        <f t="shared" ref="B7:B21" si="0">C7+E7+G7+I7</f>
        <v>2.9000000000000004</v>
      </c>
      <c r="C7" s="14">
        <v>2.1</v>
      </c>
      <c r="D7" s="15">
        <v>2.1</v>
      </c>
      <c r="E7" s="14">
        <v>0.8</v>
      </c>
      <c r="F7" s="15">
        <v>2.1</v>
      </c>
      <c r="G7" s="16"/>
      <c r="H7" s="17"/>
      <c r="I7" s="16"/>
      <c r="J7" s="17"/>
      <c r="K7" s="66"/>
      <c r="N7" s="1"/>
      <c r="O7" s="1"/>
      <c r="P7" s="1"/>
      <c r="Q7" s="1"/>
      <c r="R7" s="1"/>
      <c r="S7" s="1"/>
      <c r="T7" s="1"/>
      <c r="U7" s="1"/>
    </row>
    <row r="8" spans="1:21">
      <c r="A8" s="65" t="s">
        <v>41</v>
      </c>
      <c r="B8" s="6">
        <f t="shared" si="0"/>
        <v>0.9</v>
      </c>
      <c r="C8" s="14">
        <v>0.9</v>
      </c>
      <c r="D8" s="15">
        <v>2.1</v>
      </c>
      <c r="E8" s="16"/>
      <c r="F8" s="17"/>
      <c r="G8" s="16"/>
      <c r="H8" s="17"/>
      <c r="I8" s="16"/>
      <c r="J8" s="17"/>
      <c r="K8" s="66"/>
    </row>
    <row r="9" spans="1:21">
      <c r="A9" s="65" t="s">
        <v>43</v>
      </c>
      <c r="B9" s="6">
        <f t="shared" si="0"/>
        <v>0.8</v>
      </c>
      <c r="C9" s="14">
        <v>0.8</v>
      </c>
      <c r="D9" s="15">
        <v>2.1</v>
      </c>
      <c r="E9" s="16"/>
      <c r="F9" s="17"/>
      <c r="G9" s="16"/>
      <c r="H9" s="17"/>
      <c r="I9" s="16"/>
      <c r="J9" s="17"/>
      <c r="K9" s="66"/>
    </row>
    <row r="10" spans="1:21" ht="15.75" thickBot="1">
      <c r="A10" s="65" t="s">
        <v>51</v>
      </c>
      <c r="B10" s="19">
        <f t="shared" si="0"/>
        <v>1.8</v>
      </c>
      <c r="C10" s="14">
        <v>0.9</v>
      </c>
      <c r="D10" s="15">
        <v>2.1</v>
      </c>
      <c r="E10" s="14">
        <v>0.9</v>
      </c>
      <c r="F10" s="15">
        <v>2.1</v>
      </c>
      <c r="G10" s="16"/>
      <c r="H10" s="17"/>
      <c r="I10" s="16"/>
      <c r="J10" s="17"/>
      <c r="K10" s="66"/>
    </row>
    <row r="11" spans="1:21">
      <c r="A11" s="29" t="s">
        <v>57</v>
      </c>
      <c r="B11" s="25">
        <f t="shared" si="0"/>
        <v>0.9</v>
      </c>
      <c r="C11" s="35">
        <v>0.9</v>
      </c>
      <c r="D11" s="36">
        <v>2.1</v>
      </c>
      <c r="E11" s="26"/>
      <c r="F11" s="27"/>
      <c r="G11" s="26"/>
      <c r="H11" s="27"/>
      <c r="I11" s="26"/>
      <c r="J11" s="27"/>
      <c r="K11" s="66"/>
    </row>
    <row r="12" spans="1:21">
      <c r="A12" s="65" t="s">
        <v>59</v>
      </c>
      <c r="B12" s="6">
        <f t="shared" si="0"/>
        <v>0.9</v>
      </c>
      <c r="C12" s="14">
        <v>0.9</v>
      </c>
      <c r="D12" s="15">
        <v>2.1</v>
      </c>
      <c r="E12" s="16"/>
      <c r="F12" s="17"/>
      <c r="G12" s="16"/>
      <c r="H12" s="17"/>
      <c r="I12" s="16"/>
      <c r="J12" s="17"/>
      <c r="K12" s="66"/>
    </row>
    <row r="13" spans="1:21">
      <c r="A13" s="65" t="s">
        <v>65</v>
      </c>
      <c r="B13" s="6">
        <f t="shared" si="0"/>
        <v>1.8</v>
      </c>
      <c r="C13" s="14">
        <v>0.9</v>
      </c>
      <c r="D13" s="15">
        <v>2.1</v>
      </c>
      <c r="E13" s="14">
        <v>0.9</v>
      </c>
      <c r="F13" s="15">
        <v>2.1</v>
      </c>
      <c r="G13" s="16"/>
      <c r="H13" s="17"/>
      <c r="I13" s="16"/>
      <c r="J13" s="17"/>
      <c r="K13" s="66"/>
    </row>
    <row r="14" spans="1:21">
      <c r="A14" s="65" t="s">
        <v>67</v>
      </c>
      <c r="B14" s="6">
        <f t="shared" si="0"/>
        <v>0.9</v>
      </c>
      <c r="C14" s="14">
        <v>0.9</v>
      </c>
      <c r="D14" s="15">
        <v>2.1</v>
      </c>
      <c r="E14" s="16"/>
      <c r="F14" s="17"/>
      <c r="G14" s="16"/>
      <c r="H14" s="17"/>
      <c r="I14" s="16"/>
      <c r="J14" s="17"/>
      <c r="K14" s="66"/>
    </row>
    <row r="15" spans="1:21">
      <c r="A15" s="65" t="s">
        <v>70</v>
      </c>
      <c r="B15" s="6">
        <f t="shared" si="0"/>
        <v>2.96</v>
      </c>
      <c r="C15" s="14">
        <v>1.48</v>
      </c>
      <c r="D15" s="15">
        <v>2.1</v>
      </c>
      <c r="E15" s="14">
        <v>1.48</v>
      </c>
      <c r="F15" s="15">
        <v>2.1</v>
      </c>
      <c r="G15" s="16"/>
      <c r="H15" s="17"/>
      <c r="I15" s="16"/>
      <c r="J15" s="17"/>
      <c r="K15" s="66"/>
    </row>
    <row r="16" spans="1:21">
      <c r="A16" s="65" t="s">
        <v>74</v>
      </c>
      <c r="B16" s="6">
        <f t="shared" si="0"/>
        <v>0.8</v>
      </c>
      <c r="C16" s="14">
        <v>0.8</v>
      </c>
      <c r="D16" s="15">
        <v>2.1</v>
      </c>
      <c r="E16" s="16"/>
      <c r="F16" s="17"/>
      <c r="G16" s="16"/>
      <c r="H16" s="17"/>
      <c r="I16" s="16"/>
      <c r="J16" s="17"/>
      <c r="K16" s="66"/>
    </row>
    <row r="17" spans="1:11">
      <c r="A17" s="65" t="s">
        <v>75</v>
      </c>
      <c r="B17" s="6">
        <f t="shared" si="0"/>
        <v>3.2</v>
      </c>
      <c r="C17" s="14">
        <v>1.1000000000000001</v>
      </c>
      <c r="D17" s="15">
        <v>2.1</v>
      </c>
      <c r="E17" s="14">
        <v>2.1</v>
      </c>
      <c r="F17" s="15">
        <v>2.1</v>
      </c>
      <c r="G17" s="16"/>
      <c r="H17" s="17"/>
      <c r="I17" s="16"/>
      <c r="J17" s="17"/>
      <c r="K17" s="66"/>
    </row>
    <row r="18" spans="1:11">
      <c r="A18" s="65" t="s">
        <v>77</v>
      </c>
      <c r="B18" s="6">
        <f t="shared" si="0"/>
        <v>0.8</v>
      </c>
      <c r="C18" s="14">
        <v>0.8</v>
      </c>
      <c r="D18" s="15">
        <v>2.1</v>
      </c>
      <c r="E18" s="16"/>
      <c r="F18" s="17"/>
      <c r="G18" s="16"/>
      <c r="H18" s="17"/>
      <c r="I18" s="16"/>
      <c r="J18" s="17"/>
      <c r="K18" s="66"/>
    </row>
    <row r="19" spans="1:11">
      <c r="A19" s="65" t="s">
        <v>82</v>
      </c>
      <c r="B19" s="6">
        <f t="shared" si="0"/>
        <v>0.9</v>
      </c>
      <c r="C19" s="14">
        <v>0.9</v>
      </c>
      <c r="D19" s="15">
        <v>2.1</v>
      </c>
      <c r="E19" s="16"/>
      <c r="F19" s="17"/>
      <c r="G19" s="16"/>
      <c r="H19" s="17"/>
      <c r="I19" s="16"/>
      <c r="J19" s="17"/>
      <c r="K19" s="66"/>
    </row>
    <row r="20" spans="1:11">
      <c r="A20" s="65" t="s">
        <v>133</v>
      </c>
      <c r="B20" s="6">
        <f t="shared" si="0"/>
        <v>0.9</v>
      </c>
      <c r="C20" s="14">
        <v>0.9</v>
      </c>
      <c r="D20" s="15">
        <v>2.1</v>
      </c>
      <c r="E20" s="16"/>
      <c r="F20" s="17"/>
      <c r="G20" s="16"/>
      <c r="H20" s="17"/>
      <c r="I20" s="16"/>
      <c r="J20" s="17"/>
      <c r="K20" s="66"/>
    </row>
    <row r="21" spans="1:11">
      <c r="A21" s="65" t="s">
        <v>137</v>
      </c>
      <c r="B21" s="6">
        <f t="shared" si="0"/>
        <v>1.8</v>
      </c>
      <c r="C21" s="14">
        <v>0.9</v>
      </c>
      <c r="D21" s="15">
        <v>2.1</v>
      </c>
      <c r="E21" s="14">
        <v>0.9</v>
      </c>
      <c r="F21" s="15">
        <v>2.1</v>
      </c>
      <c r="G21" s="16"/>
      <c r="H21" s="17"/>
      <c r="I21" s="16"/>
      <c r="J21" s="17"/>
      <c r="K21" s="66"/>
    </row>
    <row r="22" spans="1:11" hidden="1"/>
    <row r="23" spans="1:11" hidden="1"/>
    <row r="24" spans="1:11" hidden="1"/>
    <row r="25" spans="1:11" hidden="1"/>
    <row r="28" spans="1:11">
      <c r="A28" s="65" t="s">
        <v>83</v>
      </c>
      <c r="B28" s="37">
        <f>SUM(B5:B21)</f>
        <v>24.39</v>
      </c>
    </row>
    <row r="29" spans="1:11" hidden="1">
      <c r="A29" s="5" t="s">
        <v>363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57"/>
  <sheetViews>
    <sheetView topLeftCell="A10" zoomScale="85" zoomScaleNormal="85" workbookViewId="0">
      <selection activeCell="T48" sqref="T48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0" width="15.7109375" style="5" customWidth="1"/>
    <col min="31" max="16384" width="9.140625" style="5"/>
  </cols>
  <sheetData>
    <row r="1" spans="1:29">
      <c r="A1" s="154" t="s">
        <v>364</v>
      </c>
      <c r="B1" s="154"/>
      <c r="C1" s="154"/>
      <c r="D1" s="3"/>
      <c r="E1" s="3"/>
      <c r="F1" s="154" t="s">
        <v>6</v>
      </c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29">
      <c r="B2" s="3"/>
      <c r="C2" s="3"/>
      <c r="D2" s="3"/>
      <c r="E2" s="3"/>
      <c r="F2" s="157" t="s">
        <v>15</v>
      </c>
      <c r="G2" s="158"/>
      <c r="H2" s="157" t="s">
        <v>16</v>
      </c>
      <c r="I2" s="158"/>
      <c r="J2" s="157" t="s">
        <v>17</v>
      </c>
      <c r="K2" s="158"/>
      <c r="L2" s="154" t="s">
        <v>18</v>
      </c>
      <c r="M2" s="154"/>
      <c r="N2" s="154" t="s">
        <v>19</v>
      </c>
      <c r="O2" s="154"/>
      <c r="P2" s="154" t="s">
        <v>20</v>
      </c>
      <c r="Q2" s="154"/>
      <c r="R2" s="157" t="s">
        <v>165</v>
      </c>
      <c r="S2" s="158"/>
      <c r="T2" s="154" t="s">
        <v>166</v>
      </c>
      <c r="U2" s="154"/>
      <c r="V2" s="154" t="s">
        <v>167</v>
      </c>
      <c r="W2" s="154"/>
      <c r="X2" s="154" t="s">
        <v>168</v>
      </c>
      <c r="Y2" s="154"/>
      <c r="Z2" s="154" t="s">
        <v>169</v>
      </c>
      <c r="AA2" s="154"/>
      <c r="AB2" s="154" t="s">
        <v>23</v>
      </c>
      <c r="AC2" s="154"/>
    </row>
    <row r="3" spans="1:29" ht="30" customHeight="1">
      <c r="A3" s="1"/>
      <c r="B3" s="10" t="s">
        <v>7</v>
      </c>
      <c r="C3" s="10" t="s">
        <v>8</v>
      </c>
      <c r="D3" s="11" t="s">
        <v>2</v>
      </c>
      <c r="E3" s="18" t="s">
        <v>105</v>
      </c>
      <c r="F3" s="62" t="s">
        <v>10</v>
      </c>
      <c r="G3" s="62" t="s">
        <v>11</v>
      </c>
      <c r="H3" s="62" t="s">
        <v>10</v>
      </c>
      <c r="I3" s="62" t="s">
        <v>11</v>
      </c>
      <c r="J3" s="62" t="s">
        <v>10</v>
      </c>
      <c r="K3" s="62" t="s">
        <v>11</v>
      </c>
      <c r="L3" s="62" t="s">
        <v>10</v>
      </c>
      <c r="M3" s="62" t="s">
        <v>11</v>
      </c>
      <c r="N3" s="62" t="s">
        <v>10</v>
      </c>
      <c r="O3" s="62" t="s">
        <v>11</v>
      </c>
      <c r="P3" s="62" t="s">
        <v>10</v>
      </c>
      <c r="Q3" s="62" t="s">
        <v>11</v>
      </c>
      <c r="R3" s="62" t="s">
        <v>10</v>
      </c>
      <c r="S3" s="62" t="s">
        <v>11</v>
      </c>
      <c r="T3" s="62" t="s">
        <v>10</v>
      </c>
      <c r="U3" s="62" t="s">
        <v>11</v>
      </c>
      <c r="V3" s="62" t="s">
        <v>10</v>
      </c>
      <c r="W3" s="62" t="s">
        <v>11</v>
      </c>
      <c r="X3" s="62" t="s">
        <v>10</v>
      </c>
      <c r="Y3" s="62" t="s">
        <v>11</v>
      </c>
      <c r="Z3" s="62" t="s">
        <v>10</v>
      </c>
      <c r="AA3" s="62" t="s">
        <v>11</v>
      </c>
      <c r="AB3" s="62" t="s">
        <v>10</v>
      </c>
      <c r="AC3" s="2" t="s">
        <v>11</v>
      </c>
    </row>
    <row r="4" spans="1:29" s="82" customFormat="1">
      <c r="A4" s="57" t="s">
        <v>121</v>
      </c>
      <c r="B4" s="80"/>
      <c r="C4" s="80"/>
      <c r="D4" s="7">
        <v>54.42</v>
      </c>
      <c r="E4" s="7">
        <f>D4-(F4+H4+J4+L4+N4+P4+R4+T4+V4+X4+Z4+AB4)</f>
        <v>42.77</v>
      </c>
      <c r="F4" s="78">
        <v>0.9</v>
      </c>
      <c r="G4" s="79">
        <v>2.1</v>
      </c>
      <c r="H4" s="78">
        <v>0.9</v>
      </c>
      <c r="I4" s="79">
        <v>2.1</v>
      </c>
      <c r="J4" s="78">
        <v>2.1</v>
      </c>
      <c r="K4" s="79">
        <v>2.1</v>
      </c>
      <c r="L4" s="63"/>
      <c r="M4" s="64"/>
      <c r="N4" s="63"/>
      <c r="O4" s="64"/>
      <c r="P4" s="63"/>
      <c r="Q4" s="64"/>
      <c r="R4" s="63"/>
      <c r="S4" s="64"/>
      <c r="T4" s="63"/>
      <c r="U4" s="64"/>
      <c r="V4" s="63"/>
      <c r="W4" s="64"/>
      <c r="X4" s="63"/>
      <c r="Y4" s="64"/>
      <c r="Z4" s="63"/>
      <c r="AA4" s="64"/>
      <c r="AB4" s="78">
        <v>7.75</v>
      </c>
      <c r="AC4" s="79">
        <v>9.5</v>
      </c>
    </row>
    <row r="5" spans="1:29" s="82" customFormat="1">
      <c r="A5" s="57" t="s">
        <v>122</v>
      </c>
      <c r="B5" s="80"/>
      <c r="C5" s="80"/>
      <c r="D5" s="7">
        <v>20.239999999999998</v>
      </c>
      <c r="E5" s="7">
        <f t="shared" ref="E5:E18" si="0">D5-(F5+H5+J5+L5+N5+P5+R5+T5+V5+X5+Z5+AB5)</f>
        <v>10.739999999999998</v>
      </c>
      <c r="F5" s="78">
        <v>2.1</v>
      </c>
      <c r="G5" s="79">
        <v>2.1</v>
      </c>
      <c r="H5" s="78">
        <v>0.8</v>
      </c>
      <c r="I5" s="79">
        <v>2.1</v>
      </c>
      <c r="J5" s="63"/>
      <c r="K5" s="64"/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B5" s="78">
        <v>6.6</v>
      </c>
      <c r="AC5" s="79">
        <v>3.4</v>
      </c>
    </row>
    <row r="6" spans="1:29" s="82" customFormat="1">
      <c r="A6" s="57" t="s">
        <v>123</v>
      </c>
      <c r="B6" s="80"/>
      <c r="C6" s="80"/>
      <c r="D6" s="7">
        <v>56.3</v>
      </c>
      <c r="E6" s="7">
        <f t="shared" si="0"/>
        <v>52.4</v>
      </c>
      <c r="F6" s="78">
        <v>2.1</v>
      </c>
      <c r="G6" s="79">
        <v>2.1</v>
      </c>
      <c r="H6" s="78">
        <v>0.9</v>
      </c>
      <c r="I6" s="79">
        <v>2.1</v>
      </c>
      <c r="J6" s="78">
        <v>0.9</v>
      </c>
      <c r="K6" s="79">
        <v>2.1</v>
      </c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</row>
    <row r="7" spans="1:29" s="82" customFormat="1">
      <c r="A7" s="57" t="s">
        <v>112</v>
      </c>
      <c r="B7" s="7">
        <v>4.25</v>
      </c>
      <c r="C7" s="7">
        <v>2.0499999999999998</v>
      </c>
      <c r="D7" s="7">
        <f t="shared" ref="D7" si="1">2*(B7+C7)</f>
        <v>12.6</v>
      </c>
      <c r="E7" s="7">
        <f t="shared" si="0"/>
        <v>11.799999999999999</v>
      </c>
      <c r="F7" s="78">
        <v>0.8</v>
      </c>
      <c r="G7" s="79">
        <v>2.1</v>
      </c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</row>
    <row r="8" spans="1:29" s="82" customFormat="1">
      <c r="A8" s="57" t="s">
        <v>124</v>
      </c>
      <c r="B8" s="80"/>
      <c r="C8" s="80"/>
      <c r="D8" s="7">
        <v>23.2</v>
      </c>
      <c r="E8" s="7">
        <f t="shared" si="0"/>
        <v>19.04</v>
      </c>
      <c r="F8" s="78">
        <v>0.8</v>
      </c>
      <c r="G8" s="79">
        <v>2.1</v>
      </c>
      <c r="H8" s="78">
        <v>0.9</v>
      </c>
      <c r="I8" s="79">
        <v>2.1</v>
      </c>
      <c r="J8" s="78">
        <v>0.9</v>
      </c>
      <c r="K8" s="79">
        <v>2.1</v>
      </c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78">
        <v>1.56</v>
      </c>
      <c r="AC8" s="79">
        <v>2.1</v>
      </c>
    </row>
    <row r="9" spans="1:29" s="82" customFormat="1">
      <c r="A9" s="57" t="s">
        <v>116</v>
      </c>
      <c r="B9" s="7">
        <v>2.17</v>
      </c>
      <c r="C9" s="7">
        <v>4.5</v>
      </c>
      <c r="D9" s="7">
        <f t="shared" ref="D9:D10" si="2">2*(B9+C9)</f>
        <v>13.34</v>
      </c>
      <c r="E9" s="7">
        <f t="shared" si="0"/>
        <v>10.73</v>
      </c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78">
        <v>1.05</v>
      </c>
      <c r="AA9" s="79">
        <v>2.1</v>
      </c>
      <c r="AB9" s="78">
        <v>1.56</v>
      </c>
      <c r="AC9" s="79">
        <v>2.1</v>
      </c>
    </row>
    <row r="10" spans="1:29" s="82" customFormat="1">
      <c r="A10" s="57" t="s">
        <v>125</v>
      </c>
      <c r="B10" s="7">
        <v>7</v>
      </c>
      <c r="C10" s="7">
        <v>3.45</v>
      </c>
      <c r="D10" s="7">
        <f t="shared" si="2"/>
        <v>20.9</v>
      </c>
      <c r="E10" s="7">
        <f t="shared" si="0"/>
        <v>19.849999999999998</v>
      </c>
      <c r="F10" s="63"/>
      <c r="G10" s="64"/>
      <c r="H10" s="63"/>
      <c r="I10" s="64"/>
      <c r="J10" s="63"/>
      <c r="K10" s="64"/>
      <c r="L10" s="63"/>
      <c r="M10" s="64"/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78">
        <v>1.05</v>
      </c>
      <c r="AC10" s="79">
        <v>2.1</v>
      </c>
    </row>
    <row r="11" spans="1:29" s="82" customFormat="1">
      <c r="A11" s="57" t="s">
        <v>4</v>
      </c>
      <c r="B11" s="80"/>
      <c r="C11" s="80"/>
      <c r="D11" s="7">
        <v>125.2</v>
      </c>
      <c r="E11" s="7">
        <f t="shared" si="0"/>
        <v>91.3</v>
      </c>
      <c r="F11" s="78">
        <f>6*2.1</f>
        <v>12.600000000000001</v>
      </c>
      <c r="G11" s="79">
        <v>2.1</v>
      </c>
      <c r="H11" s="78">
        <f>5*0.8</f>
        <v>4</v>
      </c>
      <c r="I11" s="79">
        <v>2.1</v>
      </c>
      <c r="J11" s="78">
        <f>1.1*3</f>
        <v>3.3000000000000003</v>
      </c>
      <c r="K11" s="79">
        <v>2.1</v>
      </c>
      <c r="L11" s="78">
        <v>1.1000000000000001</v>
      </c>
      <c r="M11" s="79">
        <v>2.1</v>
      </c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78">
        <f>6.6+1.9+2.2+2.2</f>
        <v>12.899999999999999</v>
      </c>
      <c r="AC11" s="79">
        <v>3.4</v>
      </c>
    </row>
    <row r="12" spans="1:29" s="82" customFormat="1">
      <c r="A12" s="57" t="s">
        <v>126</v>
      </c>
      <c r="B12" s="80"/>
      <c r="C12" s="80"/>
      <c r="D12" s="7">
        <v>17.71</v>
      </c>
      <c r="E12" s="7">
        <f t="shared" si="0"/>
        <v>13.510000000000002</v>
      </c>
      <c r="F12" s="78">
        <v>0.9</v>
      </c>
      <c r="G12" s="79">
        <v>2.1</v>
      </c>
      <c r="H12" s="78">
        <v>1.1000000000000001</v>
      </c>
      <c r="I12" s="79">
        <v>2.1</v>
      </c>
      <c r="J12" s="78">
        <v>1.1000000000000001</v>
      </c>
      <c r="K12" s="79">
        <v>2.1</v>
      </c>
      <c r="L12" s="78">
        <v>1.1000000000000001</v>
      </c>
      <c r="M12" s="79">
        <v>2.1</v>
      </c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</row>
    <row r="13" spans="1:29" s="82" customFormat="1">
      <c r="A13" s="57" t="s">
        <v>127</v>
      </c>
      <c r="B13" s="80"/>
      <c r="C13" s="80"/>
      <c r="D13" s="7">
        <v>17.71</v>
      </c>
      <c r="E13" s="7">
        <f t="shared" si="0"/>
        <v>13.510000000000002</v>
      </c>
      <c r="F13" s="78">
        <v>0.9</v>
      </c>
      <c r="G13" s="79">
        <v>2.1</v>
      </c>
      <c r="H13" s="78">
        <v>1.1000000000000001</v>
      </c>
      <c r="I13" s="79">
        <v>2.1</v>
      </c>
      <c r="J13" s="78">
        <v>1.1000000000000001</v>
      </c>
      <c r="K13" s="79">
        <v>2.1</v>
      </c>
      <c r="L13" s="78">
        <v>1.1000000000000001</v>
      </c>
      <c r="M13" s="79">
        <v>2.1</v>
      </c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</row>
    <row r="14" spans="1:29" s="82" customFormat="1">
      <c r="A14" s="57" t="s">
        <v>128</v>
      </c>
      <c r="B14" s="80"/>
      <c r="C14" s="80"/>
      <c r="D14" s="7">
        <v>58.94</v>
      </c>
      <c r="E14" s="7">
        <f t="shared" si="0"/>
        <v>55.04</v>
      </c>
      <c r="F14" s="78">
        <v>0.9</v>
      </c>
      <c r="G14" s="79">
        <v>2.1</v>
      </c>
      <c r="H14" s="78">
        <v>0.9</v>
      </c>
      <c r="I14" s="79">
        <v>2.1</v>
      </c>
      <c r="J14" s="78">
        <v>2.1</v>
      </c>
      <c r="K14" s="79">
        <v>2.1</v>
      </c>
      <c r="L14" s="63"/>
      <c r="M14" s="64"/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</row>
    <row r="15" spans="1:29" s="82" customFormat="1">
      <c r="A15" s="57" t="s">
        <v>129</v>
      </c>
      <c r="B15" s="7">
        <v>4.55</v>
      </c>
      <c r="C15" s="7">
        <v>2.75</v>
      </c>
      <c r="D15" s="7">
        <f t="shared" ref="D15:D17" si="3">2*(B15+C15)</f>
        <v>14.6</v>
      </c>
      <c r="E15" s="7">
        <f t="shared" si="0"/>
        <v>13.5</v>
      </c>
      <c r="F15" s="78">
        <v>1.1000000000000001</v>
      </c>
      <c r="G15" s="79">
        <v>2.1</v>
      </c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63"/>
      <c r="AC15" s="64"/>
    </row>
    <row r="16" spans="1:29" s="82" customFormat="1">
      <c r="A16" s="57" t="s">
        <v>115</v>
      </c>
      <c r="B16" s="7">
        <v>5.0999999999999996</v>
      </c>
      <c r="C16" s="7">
        <v>4.0199999999999996</v>
      </c>
      <c r="D16" s="7">
        <f t="shared" si="3"/>
        <v>18.239999999999998</v>
      </c>
      <c r="E16" s="7">
        <f t="shared" si="0"/>
        <v>12.379999999999999</v>
      </c>
      <c r="F16" s="78">
        <v>1.48</v>
      </c>
      <c r="G16" s="79">
        <v>2.1</v>
      </c>
      <c r="H16" s="78">
        <v>1.48</v>
      </c>
      <c r="I16" s="79">
        <v>2.1</v>
      </c>
      <c r="J16" s="78">
        <v>0.8</v>
      </c>
      <c r="K16" s="79">
        <v>2.1</v>
      </c>
      <c r="L16" s="78">
        <v>2.1</v>
      </c>
      <c r="M16" s="79">
        <v>2.1</v>
      </c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</row>
    <row r="17" spans="1:29" s="82" customFormat="1">
      <c r="A17" s="57" t="s">
        <v>111</v>
      </c>
      <c r="B17" s="7">
        <v>1.85</v>
      </c>
      <c r="C17" s="7">
        <v>4.5</v>
      </c>
      <c r="D17" s="7">
        <f t="shared" si="3"/>
        <v>12.7</v>
      </c>
      <c r="E17" s="7">
        <f t="shared" si="0"/>
        <v>11.899999999999999</v>
      </c>
      <c r="F17" s="78">
        <v>0.8</v>
      </c>
      <c r="G17" s="79">
        <v>2.1</v>
      </c>
      <c r="H17" s="63"/>
      <c r="I17" s="64"/>
      <c r="J17" s="63"/>
      <c r="K17" s="64"/>
      <c r="L17" s="63"/>
      <c r="M17" s="64"/>
      <c r="N17" s="63"/>
      <c r="O17" s="64"/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</row>
    <row r="18" spans="1:29" s="82" customFormat="1">
      <c r="A18" s="57" t="s">
        <v>130</v>
      </c>
      <c r="B18" s="80"/>
      <c r="C18" s="80"/>
      <c r="D18" s="7">
        <v>60.44</v>
      </c>
      <c r="E18" s="7">
        <f t="shared" si="0"/>
        <v>56.54</v>
      </c>
      <c r="F18" s="78">
        <v>2.1</v>
      </c>
      <c r="G18" s="79">
        <v>2.1</v>
      </c>
      <c r="H18" s="78">
        <v>0.9</v>
      </c>
      <c r="I18" s="79">
        <v>2.1</v>
      </c>
      <c r="J18" s="78">
        <v>0.9</v>
      </c>
      <c r="K18" s="79">
        <v>2.1</v>
      </c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</row>
    <row r="19" spans="1:29" ht="9.9499999999999993" customHeight="1"/>
    <row r="20" spans="1:29" hidden="1"/>
    <row r="21" spans="1:29" hidden="1"/>
    <row r="22" spans="1:29" hidden="1"/>
    <row r="23" spans="1:29" hidden="1"/>
    <row r="24" spans="1:29" hidden="1"/>
    <row r="25" spans="1:29" hidden="1"/>
    <row r="26" spans="1:29" ht="30" hidden="1" customHeight="1"/>
    <row r="27" spans="1:29" hidden="1"/>
    <row r="28" spans="1:29" ht="9.9499999999999993" hidden="1" customHeight="1"/>
    <row r="29" spans="1:29" hidden="1"/>
    <row r="30" spans="1:29" hidden="1"/>
    <row r="31" spans="1:29" hidden="1"/>
    <row r="32" spans="1:29" hidden="1"/>
    <row r="33" spans="1:29" hidden="1"/>
    <row r="34" spans="1:29" hidden="1"/>
    <row r="35" spans="1:29" ht="30" customHeight="1"/>
    <row r="36" spans="1:29">
      <c r="A36" s="61" t="s">
        <v>158</v>
      </c>
      <c r="B36" s="167">
        <f>SUM(E4:E18)</f>
        <v>435.01</v>
      </c>
      <c r="C36" s="168"/>
    </row>
    <row r="38" spans="1:29" ht="9.9499999999999993" customHeight="1"/>
    <row r="42" spans="1:29">
      <c r="A42" s="154" t="s">
        <v>365</v>
      </c>
      <c r="B42" s="154"/>
      <c r="C42" s="154"/>
      <c r="D42" s="3"/>
      <c r="E42" s="3"/>
      <c r="F42" s="154" t="s">
        <v>6</v>
      </c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</row>
    <row r="43" spans="1:29">
      <c r="B43" s="3"/>
      <c r="C43" s="3"/>
      <c r="D43" s="3"/>
      <c r="E43" s="3"/>
      <c r="F43" s="157" t="s">
        <v>15</v>
      </c>
      <c r="G43" s="158"/>
      <c r="H43" s="157" t="s">
        <v>16</v>
      </c>
      <c r="I43" s="158"/>
      <c r="J43" s="157" t="s">
        <v>17</v>
      </c>
      <c r="K43" s="158"/>
      <c r="L43" s="154" t="s">
        <v>18</v>
      </c>
      <c r="M43" s="154"/>
      <c r="N43" s="154" t="s">
        <v>19</v>
      </c>
      <c r="O43" s="154"/>
      <c r="P43" s="154" t="s">
        <v>20</v>
      </c>
      <c r="Q43" s="154"/>
      <c r="R43" s="157" t="s">
        <v>165</v>
      </c>
      <c r="S43" s="158"/>
      <c r="T43" s="154" t="s">
        <v>166</v>
      </c>
      <c r="U43" s="154"/>
      <c r="V43" s="154" t="s">
        <v>167</v>
      </c>
      <c r="W43" s="154"/>
      <c r="X43" s="154" t="s">
        <v>168</v>
      </c>
      <c r="Y43" s="154"/>
      <c r="Z43" s="154" t="s">
        <v>169</v>
      </c>
      <c r="AA43" s="154"/>
      <c r="AB43" s="154" t="s">
        <v>23</v>
      </c>
      <c r="AC43" s="154"/>
    </row>
    <row r="44" spans="1:29" ht="43.5">
      <c r="A44" s="1"/>
      <c r="B44" s="10" t="s">
        <v>7</v>
      </c>
      <c r="C44" s="10" t="s">
        <v>8</v>
      </c>
      <c r="D44" s="11" t="s">
        <v>2</v>
      </c>
      <c r="E44" s="18" t="s">
        <v>105</v>
      </c>
      <c r="F44" s="62" t="s">
        <v>10</v>
      </c>
      <c r="G44" s="62" t="s">
        <v>11</v>
      </c>
      <c r="H44" s="62" t="s">
        <v>10</v>
      </c>
      <c r="I44" s="62" t="s">
        <v>11</v>
      </c>
      <c r="J44" s="62" t="s">
        <v>10</v>
      </c>
      <c r="K44" s="62" t="s">
        <v>11</v>
      </c>
      <c r="L44" s="62" t="s">
        <v>10</v>
      </c>
      <c r="M44" s="62" t="s">
        <v>11</v>
      </c>
      <c r="N44" s="62" t="s">
        <v>10</v>
      </c>
      <c r="O44" s="62" t="s">
        <v>11</v>
      </c>
      <c r="P44" s="62" t="s">
        <v>10</v>
      </c>
      <c r="Q44" s="62" t="s">
        <v>11</v>
      </c>
      <c r="R44" s="62" t="s">
        <v>10</v>
      </c>
      <c r="S44" s="62" t="s">
        <v>11</v>
      </c>
      <c r="T44" s="62" t="s">
        <v>10</v>
      </c>
      <c r="U44" s="62" t="s">
        <v>11</v>
      </c>
      <c r="V44" s="62" t="s">
        <v>10</v>
      </c>
      <c r="W44" s="62" t="s">
        <v>11</v>
      </c>
      <c r="X44" s="62" t="s">
        <v>10</v>
      </c>
      <c r="Y44" s="62" t="s">
        <v>11</v>
      </c>
      <c r="Z44" s="62" t="s">
        <v>10</v>
      </c>
      <c r="AA44" s="62" t="s">
        <v>11</v>
      </c>
      <c r="AB44" s="62" t="s">
        <v>10</v>
      </c>
      <c r="AC44" s="2" t="s">
        <v>11</v>
      </c>
    </row>
    <row r="45" spans="1:29">
      <c r="A45" s="61" t="s">
        <v>170</v>
      </c>
      <c r="B45" s="9"/>
      <c r="C45" s="9"/>
      <c r="D45" s="6">
        <v>0</v>
      </c>
      <c r="E45" s="6">
        <f t="shared" ref="E45" si="4">D45-(F45+H45+J45+L45+N45+P45+R45+T45+V45+X45+Z45+AB45)</f>
        <v>0</v>
      </c>
      <c r="F45" s="16"/>
      <c r="G45" s="17"/>
      <c r="H45" s="16"/>
      <c r="I45" s="17"/>
      <c r="J45" s="16"/>
      <c r="K45" s="17"/>
      <c r="L45" s="16"/>
      <c r="M45" s="17"/>
      <c r="N45" s="16"/>
      <c r="O45" s="17"/>
      <c r="P45" s="16"/>
      <c r="Q45" s="17"/>
      <c r="R45" s="16"/>
      <c r="S45" s="17"/>
      <c r="T45" s="16"/>
      <c r="U45" s="17"/>
      <c r="V45" s="16"/>
      <c r="W45" s="17"/>
      <c r="X45" s="16"/>
      <c r="Y45" s="17"/>
      <c r="Z45" s="16"/>
      <c r="AA45" s="17"/>
      <c r="AB45" s="16"/>
      <c r="AC45" s="17"/>
    </row>
    <row r="47" spans="1:29">
      <c r="A47" s="61" t="s">
        <v>158</v>
      </c>
      <c r="B47" s="167">
        <f>SUM(E45:E45)</f>
        <v>0</v>
      </c>
      <c r="C47" s="168"/>
      <c r="E47" s="5" t="s">
        <v>367</v>
      </c>
    </row>
    <row r="51" spans="1:29">
      <c r="A51" s="154" t="s">
        <v>366</v>
      </c>
      <c r="B51" s="154"/>
      <c r="C51" s="154"/>
      <c r="D51" s="3"/>
      <c r="E51" s="3"/>
      <c r="F51" s="154" t="s">
        <v>6</v>
      </c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</row>
    <row r="52" spans="1:29">
      <c r="B52" s="3"/>
      <c r="C52" s="3"/>
      <c r="D52" s="3"/>
      <c r="E52" s="3"/>
      <c r="F52" s="157" t="s">
        <v>15</v>
      </c>
      <c r="G52" s="158"/>
      <c r="H52" s="157" t="s">
        <v>16</v>
      </c>
      <c r="I52" s="158"/>
      <c r="J52" s="157" t="s">
        <v>17</v>
      </c>
      <c r="K52" s="158"/>
      <c r="L52" s="154" t="s">
        <v>18</v>
      </c>
      <c r="M52" s="154"/>
      <c r="N52" s="154" t="s">
        <v>19</v>
      </c>
      <c r="O52" s="154"/>
      <c r="P52" s="154" t="s">
        <v>20</v>
      </c>
      <c r="Q52" s="154"/>
      <c r="R52" s="157" t="s">
        <v>165</v>
      </c>
      <c r="S52" s="158"/>
      <c r="T52" s="154" t="s">
        <v>166</v>
      </c>
      <c r="U52" s="154"/>
      <c r="V52" s="154" t="s">
        <v>167</v>
      </c>
      <c r="W52" s="154"/>
      <c r="X52" s="154" t="s">
        <v>168</v>
      </c>
      <c r="Y52" s="154"/>
      <c r="Z52" s="154" t="s">
        <v>169</v>
      </c>
      <c r="AA52" s="154"/>
      <c r="AB52" s="154" t="s">
        <v>23</v>
      </c>
      <c r="AC52" s="154"/>
    </row>
    <row r="53" spans="1:29" ht="43.5">
      <c r="A53" s="1"/>
      <c r="B53" s="10" t="s">
        <v>7</v>
      </c>
      <c r="C53" s="10" t="s">
        <v>8</v>
      </c>
      <c r="D53" s="11" t="s">
        <v>2</v>
      </c>
      <c r="E53" s="18" t="s">
        <v>105</v>
      </c>
      <c r="F53" s="62" t="s">
        <v>10</v>
      </c>
      <c r="G53" s="62" t="s">
        <v>11</v>
      </c>
      <c r="H53" s="62" t="s">
        <v>10</v>
      </c>
      <c r="I53" s="62" t="s">
        <v>11</v>
      </c>
      <c r="J53" s="62" t="s">
        <v>10</v>
      </c>
      <c r="K53" s="62" t="s">
        <v>11</v>
      </c>
      <c r="L53" s="62" t="s">
        <v>10</v>
      </c>
      <c r="M53" s="62" t="s">
        <v>11</v>
      </c>
      <c r="N53" s="62" t="s">
        <v>10</v>
      </c>
      <c r="O53" s="62" t="s">
        <v>11</v>
      </c>
      <c r="P53" s="62" t="s">
        <v>10</v>
      </c>
      <c r="Q53" s="62" t="s">
        <v>11</v>
      </c>
      <c r="R53" s="62" t="s">
        <v>10</v>
      </c>
      <c r="S53" s="62" t="s">
        <v>11</v>
      </c>
      <c r="T53" s="62" t="s">
        <v>10</v>
      </c>
      <c r="U53" s="62" t="s">
        <v>11</v>
      </c>
      <c r="V53" s="62" t="s">
        <v>10</v>
      </c>
      <c r="W53" s="62" t="s">
        <v>11</v>
      </c>
      <c r="X53" s="62" t="s">
        <v>10</v>
      </c>
      <c r="Y53" s="62" t="s">
        <v>11</v>
      </c>
      <c r="Z53" s="62" t="s">
        <v>10</v>
      </c>
      <c r="AA53" s="62" t="s">
        <v>11</v>
      </c>
      <c r="AB53" s="62" t="s">
        <v>10</v>
      </c>
      <c r="AC53" s="2" t="s">
        <v>11</v>
      </c>
    </row>
    <row r="54" spans="1:29">
      <c r="A54" s="61" t="s">
        <v>118</v>
      </c>
      <c r="B54" s="9"/>
      <c r="C54" s="9"/>
      <c r="D54" s="6">
        <v>27.06</v>
      </c>
      <c r="E54" s="6">
        <f>D54+(21*0.18)-(F54+H54+J54+L54+N54+P54+R54+T54+V54+X54+Z54+AB54)</f>
        <v>27.41</v>
      </c>
      <c r="F54" s="14">
        <v>2.1</v>
      </c>
      <c r="G54" s="15">
        <v>2.1</v>
      </c>
      <c r="H54" s="14">
        <v>1.33</v>
      </c>
      <c r="I54" s="15">
        <v>2.1</v>
      </c>
      <c r="J54" s="16"/>
      <c r="K54" s="17"/>
      <c r="L54" s="16"/>
      <c r="M54" s="17"/>
      <c r="N54" s="16"/>
      <c r="O54" s="17"/>
      <c r="P54" s="16"/>
      <c r="Q54" s="17"/>
      <c r="R54" s="16"/>
      <c r="S54" s="17"/>
      <c r="T54" s="16"/>
      <c r="U54" s="17"/>
      <c r="V54" s="16"/>
      <c r="W54" s="17"/>
      <c r="X54" s="16"/>
      <c r="Y54" s="17"/>
      <c r="Z54" s="16"/>
      <c r="AA54" s="17"/>
      <c r="AB54" s="16"/>
      <c r="AC54" s="17"/>
    </row>
    <row r="55" spans="1:29">
      <c r="A55" s="61" t="s">
        <v>119</v>
      </c>
      <c r="B55" s="9"/>
      <c r="C55" s="9"/>
      <c r="D55" s="6">
        <v>25.76</v>
      </c>
      <c r="E55" s="6">
        <f>D55+(21*0.18)-(F55+H55+J55+L55+N55+P55+R55+T55+V55+X55+Z55+AB55)</f>
        <v>26.64</v>
      </c>
      <c r="F55" s="14">
        <v>2.1</v>
      </c>
      <c r="G55" s="15">
        <v>2.1</v>
      </c>
      <c r="H55" s="14">
        <v>0.8</v>
      </c>
      <c r="I55" s="15">
        <v>2.1</v>
      </c>
      <c r="J55" s="16"/>
      <c r="K55" s="17"/>
      <c r="L55" s="16"/>
      <c r="M55" s="17"/>
      <c r="N55" s="16"/>
      <c r="O55" s="17"/>
      <c r="P55" s="16"/>
      <c r="Q55" s="17"/>
      <c r="R55" s="16"/>
      <c r="S55" s="17"/>
      <c r="T55" s="16"/>
      <c r="U55" s="17"/>
      <c r="V55" s="16"/>
      <c r="W55" s="17"/>
      <c r="X55" s="16"/>
      <c r="Y55" s="17"/>
      <c r="Z55" s="16"/>
      <c r="AA55" s="17"/>
      <c r="AB55" s="16"/>
      <c r="AC55" s="17"/>
    </row>
    <row r="57" spans="1:29">
      <c r="A57" s="61" t="s">
        <v>158</v>
      </c>
      <c r="B57" s="167">
        <f>SUM(E54:E55)</f>
        <v>54.05</v>
      </c>
      <c r="C57" s="168"/>
    </row>
  </sheetData>
  <mergeCells count="45">
    <mergeCell ref="A1:C1"/>
    <mergeCell ref="A42:C42"/>
    <mergeCell ref="A51:C51"/>
    <mergeCell ref="B57:C57"/>
    <mergeCell ref="B47:C47"/>
    <mergeCell ref="B36:C36"/>
    <mergeCell ref="F51:AC51"/>
    <mergeCell ref="F52:G52"/>
    <mergeCell ref="H52:I52"/>
    <mergeCell ref="J52:K52"/>
    <mergeCell ref="L52:M52"/>
    <mergeCell ref="N52:O52"/>
    <mergeCell ref="P52:Q52"/>
    <mergeCell ref="R52:S52"/>
    <mergeCell ref="T52:U52"/>
    <mergeCell ref="V52:W52"/>
    <mergeCell ref="X52:Y52"/>
    <mergeCell ref="Z52:AA52"/>
    <mergeCell ref="AB52:AC52"/>
    <mergeCell ref="F42:AC42"/>
    <mergeCell ref="F43:G43"/>
    <mergeCell ref="H43:I43"/>
    <mergeCell ref="J43:K43"/>
    <mergeCell ref="L43:M43"/>
    <mergeCell ref="N43:O43"/>
    <mergeCell ref="P43:Q43"/>
    <mergeCell ref="R43:S43"/>
    <mergeCell ref="T43:U43"/>
    <mergeCell ref="V43:W43"/>
    <mergeCell ref="X43:Y43"/>
    <mergeCell ref="Z43:AA43"/>
    <mergeCell ref="AB43:AC43"/>
    <mergeCell ref="F1:AC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R56"/>
  <sheetViews>
    <sheetView zoomScale="85" zoomScaleNormal="85" zoomScaleSheetLayoutView="85" workbookViewId="0">
      <pane ySplit="6" topLeftCell="A7" activePane="bottomLeft" state="frozenSplit"/>
      <selection pane="bottomLeft" activeCell="AR10" sqref="AR10"/>
    </sheetView>
  </sheetViews>
  <sheetFormatPr defaultRowHeight="15"/>
  <cols>
    <col min="1" max="1" width="12.7109375" style="5" customWidth="1"/>
    <col min="2" max="20" width="10.28515625" style="5" hidden="1" customWidth="1"/>
    <col min="21" max="21" width="3.7109375" style="5" hidden="1" customWidth="1"/>
    <col min="22" max="44" width="10.28515625" style="5" customWidth="1"/>
    <col min="45" max="16384" width="9.140625" style="5"/>
  </cols>
  <sheetData>
    <row r="1" spans="1:44">
      <c r="B1" s="136" t="s">
        <v>171</v>
      </c>
      <c r="C1" s="136" t="s">
        <v>172</v>
      </c>
      <c r="D1" s="136" t="s">
        <v>173</v>
      </c>
      <c r="E1" s="136" t="s">
        <v>174</v>
      </c>
      <c r="F1" s="136" t="s">
        <v>175</v>
      </c>
      <c r="G1" s="136" t="s">
        <v>176</v>
      </c>
      <c r="H1" s="136" t="s">
        <v>177</v>
      </c>
      <c r="I1" s="136" t="s">
        <v>178</v>
      </c>
      <c r="J1" s="136" t="s">
        <v>179</v>
      </c>
      <c r="K1" s="136" t="s">
        <v>180</v>
      </c>
      <c r="L1" s="136" t="s">
        <v>181</v>
      </c>
      <c r="M1" s="136" t="s">
        <v>182</v>
      </c>
      <c r="N1" s="136" t="s">
        <v>183</v>
      </c>
      <c r="O1" s="136" t="s">
        <v>184</v>
      </c>
      <c r="P1" s="136" t="s">
        <v>185</v>
      </c>
      <c r="Q1" s="136" t="s">
        <v>186</v>
      </c>
      <c r="R1" s="136" t="s">
        <v>423</v>
      </c>
      <c r="S1" s="136" t="s">
        <v>424</v>
      </c>
      <c r="T1" s="146" t="s">
        <v>439</v>
      </c>
      <c r="U1" s="3"/>
      <c r="V1" s="134" t="s">
        <v>187</v>
      </c>
      <c r="W1" s="134" t="s">
        <v>188</v>
      </c>
      <c r="X1" s="134" t="s">
        <v>189</v>
      </c>
      <c r="Y1" s="134" t="s">
        <v>190</v>
      </c>
      <c r="Z1" s="134" t="s">
        <v>191</v>
      </c>
      <c r="AA1" s="134" t="s">
        <v>192</v>
      </c>
      <c r="AB1" s="134" t="s">
        <v>193</v>
      </c>
      <c r="AC1" s="134" t="s">
        <v>194</v>
      </c>
      <c r="AD1" s="134" t="s">
        <v>195</v>
      </c>
      <c r="AE1" s="134" t="s">
        <v>196</v>
      </c>
      <c r="AF1" s="134" t="s">
        <v>197</v>
      </c>
      <c r="AG1" s="134" t="s">
        <v>198</v>
      </c>
      <c r="AH1" s="134" t="s">
        <v>199</v>
      </c>
      <c r="AI1" s="134" t="s">
        <v>407</v>
      </c>
      <c r="AJ1" s="134" t="s">
        <v>408</v>
      </c>
      <c r="AK1" s="134" t="s">
        <v>409</v>
      </c>
      <c r="AL1" s="134" t="s">
        <v>410</v>
      </c>
      <c r="AM1" s="134" t="s">
        <v>411</v>
      </c>
      <c r="AN1" s="134" t="s">
        <v>412</v>
      </c>
      <c r="AO1" s="134" t="s">
        <v>413</v>
      </c>
      <c r="AP1" s="138" t="s">
        <v>427</v>
      </c>
      <c r="AQ1" s="145" t="s">
        <v>438</v>
      </c>
      <c r="AR1" s="147" t="s">
        <v>442</v>
      </c>
    </row>
    <row r="2" spans="1:44">
      <c r="B2" s="69" t="s">
        <v>441</v>
      </c>
      <c r="C2" s="69" t="s">
        <v>233</v>
      </c>
      <c r="D2" s="69" t="s">
        <v>200</v>
      </c>
      <c r="E2" s="69" t="s">
        <v>234</v>
      </c>
      <c r="F2" s="69" t="s">
        <v>235</v>
      </c>
      <c r="G2" s="69" t="s">
        <v>201</v>
      </c>
      <c r="H2" s="69" t="s">
        <v>202</v>
      </c>
      <c r="I2" s="69" t="s">
        <v>236</v>
      </c>
      <c r="J2" s="69" t="s">
        <v>204</v>
      </c>
      <c r="K2" s="69" t="s">
        <v>205</v>
      </c>
      <c r="L2" s="69" t="s">
        <v>206</v>
      </c>
      <c r="M2" s="69" t="s">
        <v>207</v>
      </c>
      <c r="N2" s="69" t="s">
        <v>203</v>
      </c>
      <c r="O2" s="69" t="s">
        <v>237</v>
      </c>
      <c r="P2" s="69" t="s">
        <v>238</v>
      </c>
      <c r="Q2" s="69" t="s">
        <v>239</v>
      </c>
      <c r="R2" s="69" t="s">
        <v>425</v>
      </c>
      <c r="S2" s="69" t="s">
        <v>206</v>
      </c>
      <c r="T2" s="69" t="s">
        <v>440</v>
      </c>
      <c r="U2" s="70"/>
      <c r="V2" s="69" t="s">
        <v>238</v>
      </c>
      <c r="W2" s="69" t="s">
        <v>240</v>
      </c>
      <c r="X2" s="69" t="s">
        <v>208</v>
      </c>
      <c r="Y2" s="69" t="s">
        <v>209</v>
      </c>
      <c r="Z2" s="69" t="s">
        <v>214</v>
      </c>
      <c r="AA2" s="69" t="s">
        <v>210</v>
      </c>
      <c r="AB2" s="69" t="s">
        <v>414</v>
      </c>
      <c r="AC2" s="69" t="s">
        <v>211</v>
      </c>
      <c r="AD2" s="69" t="s">
        <v>212</v>
      </c>
      <c r="AE2" s="69" t="s">
        <v>213</v>
      </c>
      <c r="AF2" s="69" t="s">
        <v>214</v>
      </c>
      <c r="AG2" s="69" t="s">
        <v>215</v>
      </c>
      <c r="AH2" s="69" t="s">
        <v>209</v>
      </c>
      <c r="AI2" s="69" t="s">
        <v>209</v>
      </c>
      <c r="AJ2" s="69" t="s">
        <v>415</v>
      </c>
      <c r="AK2" s="69" t="s">
        <v>416</v>
      </c>
      <c r="AL2" s="69" t="s">
        <v>417</v>
      </c>
      <c r="AM2" s="69" t="s">
        <v>418</v>
      </c>
      <c r="AN2" s="69" t="s">
        <v>210</v>
      </c>
      <c r="AO2" s="69" t="s">
        <v>208</v>
      </c>
      <c r="AP2" s="69" t="s">
        <v>209</v>
      </c>
      <c r="AQ2" s="69" t="s">
        <v>210</v>
      </c>
      <c r="AR2" s="69" t="s">
        <v>443</v>
      </c>
    </row>
    <row r="3" spans="1:44">
      <c r="B3" s="71" t="s">
        <v>216</v>
      </c>
      <c r="C3" s="71" t="s">
        <v>217</v>
      </c>
      <c r="D3" s="71" t="s">
        <v>217</v>
      </c>
      <c r="E3" s="71" t="s">
        <v>217</v>
      </c>
      <c r="F3" s="71" t="s">
        <v>217</v>
      </c>
      <c r="G3" s="71" t="s">
        <v>217</v>
      </c>
      <c r="H3" s="71" t="s">
        <v>217</v>
      </c>
      <c r="I3" s="71" t="s">
        <v>241</v>
      </c>
      <c r="J3" s="71" t="s">
        <v>217</v>
      </c>
      <c r="K3" s="71" t="s">
        <v>217</v>
      </c>
      <c r="L3" s="71" t="s">
        <v>218</v>
      </c>
      <c r="M3" s="71" t="s">
        <v>218</v>
      </c>
      <c r="N3" s="71" t="s">
        <v>217</v>
      </c>
      <c r="O3" s="71" t="s">
        <v>242</v>
      </c>
      <c r="P3" s="71" t="s">
        <v>216</v>
      </c>
      <c r="Q3" s="71" t="s">
        <v>217</v>
      </c>
      <c r="R3" s="71" t="s">
        <v>217</v>
      </c>
      <c r="S3" s="71" t="s">
        <v>218</v>
      </c>
      <c r="T3" s="71" t="s">
        <v>216</v>
      </c>
      <c r="U3" s="70"/>
      <c r="V3" s="71" t="s">
        <v>219</v>
      </c>
      <c r="W3" s="71" t="s">
        <v>219</v>
      </c>
      <c r="X3" s="71" t="s">
        <v>221</v>
      </c>
      <c r="Y3" s="71" t="s">
        <v>220</v>
      </c>
      <c r="Z3" s="71" t="s">
        <v>220</v>
      </c>
      <c r="AA3" s="71" t="s">
        <v>220</v>
      </c>
      <c r="AB3" s="71" t="s">
        <v>220</v>
      </c>
      <c r="AC3" s="71" t="s">
        <v>220</v>
      </c>
      <c r="AD3" s="71" t="s">
        <v>221</v>
      </c>
      <c r="AE3" s="71" t="s">
        <v>219</v>
      </c>
      <c r="AF3" s="71" t="s">
        <v>220</v>
      </c>
      <c r="AG3" s="71" t="s">
        <v>220</v>
      </c>
      <c r="AH3" s="71" t="s">
        <v>220</v>
      </c>
      <c r="AI3" s="71" t="s">
        <v>220</v>
      </c>
      <c r="AJ3" s="71" t="s">
        <v>220</v>
      </c>
      <c r="AK3" s="71" t="s">
        <v>220</v>
      </c>
      <c r="AL3" s="71" t="s">
        <v>220</v>
      </c>
      <c r="AM3" s="71" t="s">
        <v>220</v>
      </c>
      <c r="AN3" s="71" t="s">
        <v>220</v>
      </c>
      <c r="AO3" s="71" t="s">
        <v>221</v>
      </c>
      <c r="AP3" s="71" t="s">
        <v>220</v>
      </c>
      <c r="AQ3" s="71" t="s">
        <v>220</v>
      </c>
      <c r="AR3" s="71" t="s">
        <v>221</v>
      </c>
    </row>
    <row r="4" spans="1:44">
      <c r="B4" s="71" t="s">
        <v>222</v>
      </c>
      <c r="C4" s="71" t="s">
        <v>223</v>
      </c>
      <c r="D4" s="71" t="s">
        <v>223</v>
      </c>
      <c r="E4" s="71" t="s">
        <v>223</v>
      </c>
      <c r="F4" s="71" t="s">
        <v>223</v>
      </c>
      <c r="G4" s="71" t="s">
        <v>223</v>
      </c>
      <c r="H4" s="71" t="s">
        <v>223</v>
      </c>
      <c r="I4" s="71" t="s">
        <v>223</v>
      </c>
      <c r="J4" s="71" t="s">
        <v>223</v>
      </c>
      <c r="K4" s="71" t="s">
        <v>223</v>
      </c>
      <c r="L4" s="71" t="s">
        <v>223</v>
      </c>
      <c r="M4" s="71" t="s">
        <v>224</v>
      </c>
      <c r="N4" s="71" t="s">
        <v>223</v>
      </c>
      <c r="O4" s="71" t="s">
        <v>223</v>
      </c>
      <c r="P4" s="71" t="s">
        <v>223</v>
      </c>
      <c r="Q4" s="71" t="s">
        <v>223</v>
      </c>
      <c r="R4" s="71" t="s">
        <v>223</v>
      </c>
      <c r="S4" s="71" t="s">
        <v>223</v>
      </c>
      <c r="T4" s="71" t="s">
        <v>223</v>
      </c>
      <c r="U4" s="70"/>
      <c r="V4" s="71" t="s">
        <v>106</v>
      </c>
      <c r="W4" s="71" t="s">
        <v>106</v>
      </c>
      <c r="X4" s="71" t="s">
        <v>107</v>
      </c>
      <c r="Y4" s="71" t="s">
        <v>107</v>
      </c>
      <c r="Z4" s="71" t="s">
        <v>107</v>
      </c>
      <c r="AA4" s="71" t="s">
        <v>107</v>
      </c>
      <c r="AB4" s="71" t="s">
        <v>106</v>
      </c>
      <c r="AC4" s="71" t="s">
        <v>106</v>
      </c>
      <c r="AD4" s="71" t="s">
        <v>107</v>
      </c>
      <c r="AE4" s="71" t="s">
        <v>106</v>
      </c>
      <c r="AF4" s="71" t="s">
        <v>107</v>
      </c>
      <c r="AG4" s="71" t="s">
        <v>107</v>
      </c>
      <c r="AH4" s="71" t="s">
        <v>107</v>
      </c>
      <c r="AI4" s="71" t="s">
        <v>107</v>
      </c>
      <c r="AJ4" s="71" t="s">
        <v>107</v>
      </c>
      <c r="AK4" s="71" t="s">
        <v>107</v>
      </c>
      <c r="AL4" s="71" t="s">
        <v>106</v>
      </c>
      <c r="AM4" s="71" t="s">
        <v>106</v>
      </c>
      <c r="AN4" s="71" t="s">
        <v>107</v>
      </c>
      <c r="AO4" s="71" t="s">
        <v>107</v>
      </c>
      <c r="AP4" s="71" t="s">
        <v>106</v>
      </c>
      <c r="AQ4" s="71" t="s">
        <v>107</v>
      </c>
      <c r="AR4" s="71" t="s">
        <v>107</v>
      </c>
    </row>
    <row r="5" spans="1:44" ht="15" customHeight="1">
      <c r="B5" s="169" t="s">
        <v>243</v>
      </c>
      <c r="C5" s="169" t="s">
        <v>243</v>
      </c>
      <c r="D5" s="169" t="s">
        <v>243</v>
      </c>
      <c r="E5" s="169" t="s">
        <v>426</v>
      </c>
      <c r="F5" s="169" t="s">
        <v>243</v>
      </c>
      <c r="G5" s="169" t="s">
        <v>243</v>
      </c>
      <c r="H5" s="169" t="s">
        <v>243</v>
      </c>
      <c r="I5" s="169" t="s">
        <v>225</v>
      </c>
      <c r="J5" s="169" t="s">
        <v>243</v>
      </c>
      <c r="K5" s="169" t="s">
        <v>243</v>
      </c>
      <c r="L5" s="169" t="s">
        <v>225</v>
      </c>
      <c r="M5" s="169" t="s">
        <v>226</v>
      </c>
      <c r="N5" s="169" t="s">
        <v>426</v>
      </c>
      <c r="O5" s="169" t="s">
        <v>243</v>
      </c>
      <c r="P5" s="169" t="s">
        <v>243</v>
      </c>
      <c r="Q5" s="169" t="s">
        <v>225</v>
      </c>
      <c r="R5" s="169" t="s">
        <v>243</v>
      </c>
      <c r="S5" s="169" t="s">
        <v>426</v>
      </c>
      <c r="T5" s="169" t="s">
        <v>243</v>
      </c>
      <c r="U5" s="48"/>
      <c r="V5" s="169" t="s">
        <v>227</v>
      </c>
      <c r="W5" s="169" t="s">
        <v>225</v>
      </c>
      <c r="X5" s="169" t="s">
        <v>228</v>
      </c>
      <c r="Y5" s="169" t="s">
        <v>228</v>
      </c>
      <c r="Z5" s="169" t="s">
        <v>229</v>
      </c>
      <c r="AA5" s="169" t="s">
        <v>228</v>
      </c>
      <c r="AB5" s="169" t="s">
        <v>419</v>
      </c>
      <c r="AC5" s="169" t="s">
        <v>229</v>
      </c>
      <c r="AD5" s="169" t="s">
        <v>420</v>
      </c>
      <c r="AE5" s="169" t="s">
        <v>227</v>
      </c>
      <c r="AF5" s="169" t="s">
        <v>228</v>
      </c>
      <c r="AG5" s="169" t="s">
        <v>230</v>
      </c>
      <c r="AH5" s="169" t="s">
        <v>231</v>
      </c>
      <c r="AI5" s="169" t="s">
        <v>421</v>
      </c>
      <c r="AJ5" s="169" t="s">
        <v>421</v>
      </c>
      <c r="AK5" s="169" t="s">
        <v>422</v>
      </c>
      <c r="AL5" s="169" t="s">
        <v>422</v>
      </c>
      <c r="AM5" s="169" t="s">
        <v>422</v>
      </c>
      <c r="AN5" s="169" t="s">
        <v>228</v>
      </c>
      <c r="AO5" s="169" t="s">
        <v>419</v>
      </c>
      <c r="AP5" s="169" t="s">
        <v>225</v>
      </c>
      <c r="AQ5" s="169" t="s">
        <v>437</v>
      </c>
      <c r="AR5" s="169" t="s">
        <v>420</v>
      </c>
    </row>
    <row r="6" spans="1:44"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72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</row>
    <row r="7" spans="1:44" s="82" customFormat="1">
      <c r="A7" s="137" t="s">
        <v>27</v>
      </c>
      <c r="B7" s="80"/>
      <c r="C7" s="80"/>
      <c r="D7" s="112">
        <v>4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</row>
    <row r="8" spans="1:44" s="82" customFormat="1">
      <c r="A8" s="137" t="s">
        <v>28</v>
      </c>
      <c r="B8" s="113"/>
      <c r="C8" s="113"/>
      <c r="D8" s="113"/>
      <c r="E8" s="112">
        <v>1</v>
      </c>
      <c r="F8" s="113"/>
      <c r="G8" s="113"/>
      <c r="H8" s="113"/>
      <c r="I8" s="113"/>
      <c r="J8" s="113"/>
      <c r="K8" s="113"/>
      <c r="L8" s="112">
        <v>1</v>
      </c>
      <c r="M8" s="113"/>
      <c r="N8" s="113"/>
      <c r="O8" s="80"/>
      <c r="P8" s="113"/>
      <c r="Q8" s="112">
        <v>3</v>
      </c>
      <c r="R8" s="113"/>
      <c r="S8" s="112">
        <v>2</v>
      </c>
      <c r="T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</row>
    <row r="9" spans="1:44" s="82" customFormat="1">
      <c r="A9" s="137" t="s">
        <v>32</v>
      </c>
      <c r="B9" s="113"/>
      <c r="C9" s="113"/>
      <c r="D9" s="113"/>
      <c r="E9" s="112">
        <v>2</v>
      </c>
      <c r="F9" s="113"/>
      <c r="G9" s="113"/>
      <c r="H9" s="113"/>
      <c r="I9" s="113"/>
      <c r="J9" s="113"/>
      <c r="K9" s="113"/>
      <c r="L9" s="113"/>
      <c r="M9" s="113"/>
      <c r="N9" s="113"/>
      <c r="O9" s="80"/>
      <c r="P9" s="113"/>
      <c r="Q9" s="113"/>
      <c r="R9" s="113"/>
      <c r="S9" s="113"/>
      <c r="T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2">
        <v>1</v>
      </c>
      <c r="AR9" s="113"/>
    </row>
    <row r="10" spans="1:44" s="82" customFormat="1">
      <c r="A10" s="137" t="s">
        <v>35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80"/>
      <c r="P10" s="113"/>
      <c r="Q10" s="113"/>
      <c r="R10" s="113"/>
      <c r="S10" s="113"/>
      <c r="T10" s="113"/>
      <c r="V10" s="113"/>
      <c r="W10" s="113"/>
      <c r="X10" s="113"/>
      <c r="Y10" s="112">
        <v>1</v>
      </c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</row>
    <row r="11" spans="1:44" s="82" customFormat="1">
      <c r="A11" s="137" t="s">
        <v>39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V11" s="113"/>
      <c r="W11" s="113"/>
      <c r="X11" s="112">
        <v>1</v>
      </c>
      <c r="Y11" s="112">
        <v>1</v>
      </c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</row>
    <row r="12" spans="1:44" s="82" customFormat="1">
      <c r="A12" s="137" t="s">
        <v>41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V12" s="113"/>
      <c r="W12" s="113"/>
      <c r="X12" s="113"/>
      <c r="Y12" s="113"/>
      <c r="Z12" s="113"/>
      <c r="AA12" s="112">
        <v>1</v>
      </c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</row>
    <row r="13" spans="1:44" s="82" customFormat="1">
      <c r="A13" s="137" t="s">
        <v>43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V13" s="113"/>
      <c r="W13" s="113"/>
      <c r="X13" s="113"/>
      <c r="Y13" s="112">
        <v>1</v>
      </c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2">
        <v>1</v>
      </c>
      <c r="AO13" s="113"/>
      <c r="AP13" s="113"/>
      <c r="AQ13" s="113"/>
      <c r="AR13" s="113"/>
    </row>
    <row r="14" spans="1:44" s="82" customFormat="1">
      <c r="A14" s="137" t="s">
        <v>44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V14" s="113"/>
      <c r="W14" s="113"/>
      <c r="X14" s="112">
        <v>1</v>
      </c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</row>
    <row r="15" spans="1:44" s="82" customFormat="1">
      <c r="A15" s="137" t="s">
        <v>45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V15" s="113"/>
      <c r="W15" s="113"/>
      <c r="X15" s="112">
        <v>1</v>
      </c>
      <c r="Y15" s="113"/>
      <c r="Z15" s="113"/>
      <c r="AA15" s="113"/>
      <c r="AB15" s="113"/>
      <c r="AC15" s="113"/>
      <c r="AD15" s="113"/>
      <c r="AE15" s="113"/>
      <c r="AF15" s="112">
        <v>3</v>
      </c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</row>
    <row r="16" spans="1:44" s="82" customFormat="1">
      <c r="A16" s="137" t="s">
        <v>46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V16" s="113"/>
      <c r="W16" s="113"/>
      <c r="X16" s="112">
        <v>1</v>
      </c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</row>
    <row r="17" spans="1:44" s="82" customFormat="1">
      <c r="A17" s="137" t="s">
        <v>51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V17" s="113"/>
      <c r="W17" s="113"/>
      <c r="X17" s="113"/>
      <c r="Y17" s="113"/>
      <c r="Z17" s="113"/>
      <c r="AA17" s="112">
        <v>2</v>
      </c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</row>
    <row r="18" spans="1:44" s="82" customFormat="1">
      <c r="A18" s="137" t="s">
        <v>52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2">
        <v>1</v>
      </c>
      <c r="L18" s="113"/>
      <c r="M18" s="113"/>
      <c r="N18" s="113"/>
      <c r="O18" s="113"/>
      <c r="P18" s="113"/>
      <c r="Q18" s="113"/>
      <c r="R18" s="113"/>
      <c r="S18" s="113"/>
      <c r="T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</row>
    <row r="19" spans="1:44" s="82" customFormat="1">
      <c r="A19" s="137" t="s">
        <v>53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V19" s="113"/>
      <c r="W19" s="113"/>
      <c r="X19" s="112">
        <v>1</v>
      </c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</row>
    <row r="20" spans="1:44" s="82" customFormat="1">
      <c r="A20" s="137" t="s">
        <v>55</v>
      </c>
      <c r="B20" s="113"/>
      <c r="C20" s="113"/>
      <c r="D20" s="113"/>
      <c r="E20" s="113"/>
      <c r="F20" s="113"/>
      <c r="G20" s="112">
        <v>1</v>
      </c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</row>
    <row r="21" spans="1:44" s="82" customFormat="1">
      <c r="A21" s="137" t="s">
        <v>131</v>
      </c>
      <c r="B21" s="113"/>
      <c r="C21" s="113"/>
      <c r="D21" s="113"/>
      <c r="E21" s="113"/>
      <c r="F21" s="112">
        <v>1</v>
      </c>
      <c r="G21" s="113"/>
      <c r="H21" s="112">
        <v>1</v>
      </c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</row>
    <row r="22" spans="1:44" s="82" customFormat="1" ht="15.75" thickBot="1">
      <c r="A22" s="104" t="s">
        <v>132</v>
      </c>
      <c r="B22" s="114"/>
      <c r="C22" s="114"/>
      <c r="D22" s="114"/>
      <c r="E22" s="114"/>
      <c r="F22" s="114"/>
      <c r="G22" s="114"/>
      <c r="H22" s="114"/>
      <c r="I22" s="114"/>
      <c r="J22" s="115">
        <v>1</v>
      </c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6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</row>
    <row r="23" spans="1:44" s="82" customFormat="1">
      <c r="A23" s="92" t="s">
        <v>56</v>
      </c>
      <c r="B23" s="117"/>
      <c r="C23" s="117"/>
      <c r="D23" s="100">
        <v>3</v>
      </c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8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</row>
    <row r="24" spans="1:44" s="82" customFormat="1">
      <c r="A24" s="137" t="s">
        <v>57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V24" s="113"/>
      <c r="W24" s="113"/>
      <c r="X24" s="113"/>
      <c r="Y24" s="113"/>
      <c r="Z24" s="113"/>
      <c r="AA24" s="112">
        <v>1</v>
      </c>
      <c r="AB24" s="113"/>
      <c r="AC24" s="113"/>
      <c r="AD24" s="113"/>
      <c r="AE24" s="113"/>
      <c r="AF24" s="112">
        <v>1</v>
      </c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</row>
    <row r="25" spans="1:44" s="82" customFormat="1">
      <c r="A25" s="137" t="s">
        <v>59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V25" s="113"/>
      <c r="W25" s="113"/>
      <c r="X25" s="113"/>
      <c r="Y25" s="113"/>
      <c r="Z25" s="113"/>
      <c r="AA25" s="112">
        <v>1</v>
      </c>
      <c r="AB25" s="113"/>
      <c r="AC25" s="113"/>
      <c r="AD25" s="113"/>
      <c r="AE25" s="113"/>
      <c r="AF25" s="112">
        <v>1</v>
      </c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</row>
    <row r="26" spans="1:44" s="82" customFormat="1">
      <c r="A26" s="137" t="s">
        <v>65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V26" s="113"/>
      <c r="W26" s="113"/>
      <c r="X26" s="113"/>
      <c r="Y26" s="113"/>
      <c r="Z26" s="113"/>
      <c r="AA26" s="112">
        <v>2</v>
      </c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</row>
    <row r="27" spans="1:44" s="82" customFormat="1">
      <c r="A27" s="137" t="s">
        <v>67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V27" s="113"/>
      <c r="W27" s="113"/>
      <c r="X27" s="113"/>
      <c r="Y27" s="113"/>
      <c r="Z27" s="113"/>
      <c r="AA27" s="112">
        <v>1</v>
      </c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</row>
    <row r="28" spans="1:44" s="82" customFormat="1">
      <c r="A28" s="137" t="s">
        <v>74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V28" s="113"/>
      <c r="W28" s="113"/>
      <c r="X28" s="113"/>
      <c r="Y28" s="112">
        <v>1</v>
      </c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</row>
    <row r="29" spans="1:44" s="82" customFormat="1">
      <c r="A29" s="137" t="s">
        <v>75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V29" s="113"/>
      <c r="W29" s="113"/>
      <c r="X29" s="112">
        <v>1</v>
      </c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</row>
    <row r="30" spans="1:44" s="82" customFormat="1">
      <c r="A30" s="137" t="s">
        <v>76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V30" s="113"/>
      <c r="W30" s="113"/>
      <c r="X30" s="113"/>
      <c r="Y30" s="112">
        <v>1</v>
      </c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</row>
    <row r="31" spans="1:44" s="82" customFormat="1">
      <c r="A31" s="137" t="s">
        <v>77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V31" s="113"/>
      <c r="W31" s="113"/>
      <c r="X31" s="113"/>
      <c r="Y31" s="112">
        <v>1</v>
      </c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</row>
    <row r="32" spans="1:44" s="82" customFormat="1">
      <c r="A32" s="137" t="s">
        <v>82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V32" s="113"/>
      <c r="W32" s="113"/>
      <c r="X32" s="113"/>
      <c r="Y32" s="113"/>
      <c r="Z32" s="113"/>
      <c r="AA32" s="112">
        <v>1</v>
      </c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</row>
    <row r="33" spans="1:44" s="82" customFormat="1">
      <c r="A33" s="137" t="s">
        <v>133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V33" s="113"/>
      <c r="W33" s="113"/>
      <c r="X33" s="113"/>
      <c r="Y33" s="113"/>
      <c r="Z33" s="113"/>
      <c r="AA33" s="112">
        <v>1</v>
      </c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</row>
    <row r="34" spans="1:44" s="82" customFormat="1">
      <c r="A34" s="137" t="s">
        <v>137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V34" s="113"/>
      <c r="W34" s="113"/>
      <c r="X34" s="112">
        <v>1</v>
      </c>
      <c r="Y34" s="113"/>
      <c r="Z34" s="113"/>
      <c r="AA34" s="112">
        <v>2</v>
      </c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</row>
    <row r="35" spans="1:44" s="82" customFormat="1">
      <c r="A35" s="137" t="s">
        <v>139</v>
      </c>
      <c r="B35" s="112">
        <v>1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</row>
    <row r="36" spans="1:44" s="82" customFormat="1">
      <c r="A36" s="139" t="s">
        <v>125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2">
        <v>2</v>
      </c>
      <c r="AJ36" s="112">
        <v>2</v>
      </c>
      <c r="AK36" s="113"/>
      <c r="AL36" s="113"/>
      <c r="AM36" s="113"/>
      <c r="AN36" s="113"/>
      <c r="AO36" s="113"/>
      <c r="AP36" s="113"/>
      <c r="AQ36" s="113"/>
      <c r="AR36" s="113"/>
    </row>
    <row r="37" spans="1:44" hidden="1"/>
    <row r="38" spans="1:44" hidden="1"/>
    <row r="39" spans="1:44" hidden="1"/>
    <row r="40" spans="1:44" hidden="1"/>
    <row r="41" spans="1:44" hidden="1"/>
    <row r="42" spans="1:44" hidden="1"/>
    <row r="43" spans="1:44" hidden="1"/>
    <row r="44" spans="1:44" hidden="1"/>
    <row r="45" spans="1:44" hidden="1"/>
    <row r="46" spans="1:44" hidden="1"/>
    <row r="47" spans="1:44" hidden="1"/>
    <row r="48" spans="1:44" hidden="1"/>
    <row r="49" spans="1:44" hidden="1"/>
    <row r="50" spans="1:44" hidden="1"/>
    <row r="51" spans="1:44" hidden="1"/>
    <row r="52" spans="1:44" hidden="1"/>
    <row r="53" spans="1:44" hidden="1"/>
    <row r="55" spans="1:44">
      <c r="A55" s="67" t="s">
        <v>83</v>
      </c>
      <c r="B55" s="41">
        <f>SUM(B7:B36)</f>
        <v>1</v>
      </c>
      <c r="C55" s="38"/>
      <c r="D55" s="41">
        <f t="shared" ref="D55:H55" si="0">SUM(D7:D36)</f>
        <v>7</v>
      </c>
      <c r="E55" s="41">
        <f t="shared" si="0"/>
        <v>3</v>
      </c>
      <c r="F55" s="41">
        <f t="shared" si="0"/>
        <v>1</v>
      </c>
      <c r="G55" s="41">
        <f t="shared" si="0"/>
        <v>1</v>
      </c>
      <c r="H55" s="41">
        <f t="shared" si="0"/>
        <v>1</v>
      </c>
      <c r="I55" s="38"/>
      <c r="J55" s="41">
        <f t="shared" ref="J55:L55" si="1">SUM(J7:J36)</f>
        <v>1</v>
      </c>
      <c r="K55" s="41">
        <f t="shared" si="1"/>
        <v>1</v>
      </c>
      <c r="L55" s="41">
        <f t="shared" si="1"/>
        <v>1</v>
      </c>
      <c r="M55" s="38"/>
      <c r="N55" s="38"/>
      <c r="O55" s="38"/>
      <c r="P55" s="38"/>
      <c r="Q55" s="41">
        <f>SUM(Q7:Q36)</f>
        <v>3</v>
      </c>
      <c r="R55" s="38"/>
      <c r="S55" s="41">
        <f>SUM(S7:S36)</f>
        <v>2</v>
      </c>
      <c r="T55" s="38"/>
      <c r="V55" s="38"/>
      <c r="W55" s="38"/>
      <c r="X55" s="41">
        <f t="shared" ref="X55:Y55" si="2">SUM(X7:X36)</f>
        <v>7</v>
      </c>
      <c r="Y55" s="41">
        <f t="shared" si="2"/>
        <v>6</v>
      </c>
      <c r="Z55" s="38"/>
      <c r="AA55" s="41">
        <f>SUM(AA7:AA36)</f>
        <v>12</v>
      </c>
      <c r="AB55" s="38"/>
      <c r="AC55" s="38"/>
      <c r="AD55" s="38"/>
      <c r="AE55" s="38"/>
      <c r="AF55" s="41">
        <f>SUM(AF7:AF36)</f>
        <v>5</v>
      </c>
      <c r="AG55" s="38"/>
      <c r="AH55" s="38"/>
      <c r="AI55" s="41">
        <f t="shared" ref="AI55:AJ55" si="3">SUM(AI7:AI36)</f>
        <v>2</v>
      </c>
      <c r="AJ55" s="41">
        <f t="shared" si="3"/>
        <v>2</v>
      </c>
      <c r="AK55" s="38"/>
      <c r="AL55" s="38"/>
      <c r="AM55" s="38"/>
      <c r="AN55" s="41">
        <f>SUM(AN7:AN36)</f>
        <v>1</v>
      </c>
      <c r="AO55" s="38"/>
      <c r="AP55" s="38"/>
      <c r="AQ55" s="41">
        <f>SUM(AQ7:AQ36)</f>
        <v>1</v>
      </c>
      <c r="AR55" s="38"/>
    </row>
    <row r="56" spans="1:44" hidden="1">
      <c r="A56" s="5" t="s">
        <v>368</v>
      </c>
    </row>
  </sheetData>
  <mergeCells count="42">
    <mergeCell ref="AR5:AR6"/>
    <mergeCell ref="AD5:AD6"/>
    <mergeCell ref="AE5:AE6"/>
    <mergeCell ref="AF5:AF6"/>
    <mergeCell ref="AG5:AG6"/>
    <mergeCell ref="AH5:AH6"/>
    <mergeCell ref="AQ5:AQ6"/>
    <mergeCell ref="AP5:AP6"/>
    <mergeCell ref="AN5:AN6"/>
    <mergeCell ref="AO5:AO6"/>
    <mergeCell ref="AI5:AI6"/>
    <mergeCell ref="AJ5:AJ6"/>
    <mergeCell ref="AK5:AK6"/>
    <mergeCell ref="AL5:AL6"/>
    <mergeCell ref="AM5:AM6"/>
    <mergeCell ref="AC5:AC6"/>
    <mergeCell ref="N5:N6"/>
    <mergeCell ref="O5:O6"/>
    <mergeCell ref="P5:P6"/>
    <mergeCell ref="Q5:Q6"/>
    <mergeCell ref="V5:V6"/>
    <mergeCell ref="W5:W6"/>
    <mergeCell ref="X5:X6"/>
    <mergeCell ref="Y5:Y6"/>
    <mergeCell ref="Z5:Z6"/>
    <mergeCell ref="AA5:AA6"/>
    <mergeCell ref="AB5:AB6"/>
    <mergeCell ref="R5:R6"/>
    <mergeCell ref="S5:S6"/>
    <mergeCell ref="T5:T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X61"/>
  <sheetViews>
    <sheetView tabSelected="1" zoomScale="85" zoomScaleNormal="85" workbookViewId="0">
      <pane xSplit="1" topLeftCell="S1" activePane="topRight" state="frozen"/>
      <selection pane="topRight" activeCell="BL13" sqref="BL13"/>
    </sheetView>
  </sheetViews>
  <sheetFormatPr defaultRowHeight="15"/>
  <cols>
    <col min="1" max="1" width="20.7109375" style="5" customWidth="1"/>
    <col min="2" max="18" width="12.7109375" style="5" hidden="1" customWidth="1"/>
    <col min="19" max="34" width="12.7109375" style="5" customWidth="1"/>
    <col min="35" max="50" width="12.7109375" style="5" hidden="1" customWidth="1"/>
    <col min="51" max="16384" width="9.140625" style="5"/>
  </cols>
  <sheetData>
    <row r="1" spans="1:50" ht="75" customHeight="1">
      <c r="A1" s="1"/>
      <c r="B1" s="30" t="s">
        <v>246</v>
      </c>
      <c r="C1" s="30" t="s">
        <v>247</v>
      </c>
      <c r="D1" s="30" t="s">
        <v>248</v>
      </c>
      <c r="E1" s="30" t="s">
        <v>249</v>
      </c>
      <c r="F1" s="30" t="s">
        <v>250</v>
      </c>
      <c r="G1" s="30" t="s">
        <v>90</v>
      </c>
      <c r="H1" s="30" t="s">
        <v>94</v>
      </c>
      <c r="I1" s="30" t="s">
        <v>251</v>
      </c>
      <c r="J1" s="30" t="s">
        <v>91</v>
      </c>
      <c r="K1" s="30" t="s">
        <v>97</v>
      </c>
      <c r="L1" s="30" t="s">
        <v>252</v>
      </c>
      <c r="M1" s="30" t="s">
        <v>89</v>
      </c>
      <c r="N1" s="30" t="s">
        <v>253</v>
      </c>
      <c r="O1" s="30" t="s">
        <v>254</v>
      </c>
      <c r="P1" s="30" t="s">
        <v>255</v>
      </c>
      <c r="Q1" s="30" t="s">
        <v>92</v>
      </c>
      <c r="R1" s="30" t="s">
        <v>93</v>
      </c>
      <c r="S1" s="30" t="s">
        <v>256</v>
      </c>
      <c r="T1" s="30" t="s">
        <v>257</v>
      </c>
      <c r="U1" s="30" t="s">
        <v>95</v>
      </c>
      <c r="V1" s="30" t="s">
        <v>96</v>
      </c>
      <c r="W1" s="30" t="s">
        <v>258</v>
      </c>
      <c r="X1" s="30" t="s">
        <v>259</v>
      </c>
      <c r="Y1" s="30" t="s">
        <v>260</v>
      </c>
      <c r="Z1" s="30" t="s">
        <v>261</v>
      </c>
      <c r="AA1" s="30" t="s">
        <v>262</v>
      </c>
      <c r="AB1" s="30" t="s">
        <v>263</v>
      </c>
      <c r="AC1" s="30" t="s">
        <v>264</v>
      </c>
      <c r="AD1" s="30" t="s">
        <v>265</v>
      </c>
      <c r="AE1" s="30" t="s">
        <v>266</v>
      </c>
      <c r="AF1" s="30" t="s">
        <v>267</v>
      </c>
      <c r="AG1" s="30" t="s">
        <v>268</v>
      </c>
      <c r="AH1" s="30" t="s">
        <v>269</v>
      </c>
      <c r="AI1" s="30" t="s">
        <v>270</v>
      </c>
      <c r="AJ1" s="30" t="s">
        <v>271</v>
      </c>
      <c r="AK1" s="30" t="s">
        <v>272</v>
      </c>
      <c r="AL1" s="30" t="s">
        <v>273</v>
      </c>
      <c r="AM1" s="30" t="s">
        <v>274</v>
      </c>
      <c r="AN1" s="30" t="s">
        <v>275</v>
      </c>
      <c r="AO1" s="30" t="s">
        <v>276</v>
      </c>
      <c r="AP1" s="30" t="s">
        <v>284</v>
      </c>
      <c r="AQ1" s="30" t="s">
        <v>277</v>
      </c>
      <c r="AR1" s="30" t="s">
        <v>278</v>
      </c>
      <c r="AS1" s="30" t="s">
        <v>279</v>
      </c>
      <c r="AT1" s="30" t="s">
        <v>280</v>
      </c>
      <c r="AU1" s="30" t="s">
        <v>281</v>
      </c>
      <c r="AV1" s="30" t="s">
        <v>282</v>
      </c>
      <c r="AW1" s="18" t="s">
        <v>283</v>
      </c>
      <c r="AX1" s="18" t="s">
        <v>428</v>
      </c>
    </row>
    <row r="2" spans="1:50">
      <c r="A2" s="119" t="s">
        <v>121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5"/>
      <c r="Q2" s="121">
        <v>3</v>
      </c>
      <c r="R2" s="121">
        <v>3</v>
      </c>
      <c r="S2" s="121">
        <v>3</v>
      </c>
      <c r="T2" s="123"/>
      <c r="U2" s="120">
        <f>0.45*3.2</f>
        <v>1.4400000000000002</v>
      </c>
      <c r="V2" s="120">
        <f>(0.6*3.2)+1.93</f>
        <v>3.8499999999999996</v>
      </c>
      <c r="W2" s="15">
        <f>3.22+0.6+0.61+0.6+3.2+0.6+3.2+0.45+3.2+0.45+3.2</f>
        <v>19.329999999999998</v>
      </c>
      <c r="X2" s="15">
        <v>3.2</v>
      </c>
      <c r="Y2" s="121">
        <v>1</v>
      </c>
      <c r="Z2" s="123"/>
      <c r="AA2" s="121">
        <v>2</v>
      </c>
      <c r="AB2" s="123"/>
      <c r="AC2" s="123"/>
      <c r="AD2" s="121">
        <v>3</v>
      </c>
      <c r="AE2" s="121">
        <v>1</v>
      </c>
      <c r="AF2" s="121">
        <v>1</v>
      </c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0">
        <f>2*0.25*3</f>
        <v>1.5</v>
      </c>
      <c r="AU2" s="123"/>
      <c r="AV2" s="123"/>
      <c r="AW2" s="123"/>
      <c r="AX2" s="123"/>
    </row>
    <row r="3" spans="1:50">
      <c r="A3" s="119" t="s">
        <v>117</v>
      </c>
      <c r="B3" s="121">
        <v>1</v>
      </c>
      <c r="C3" s="121">
        <v>1</v>
      </c>
      <c r="D3" s="121">
        <v>2</v>
      </c>
      <c r="E3" s="121">
        <v>1</v>
      </c>
      <c r="F3" s="123"/>
      <c r="G3" s="123"/>
      <c r="H3" s="121">
        <v>1</v>
      </c>
      <c r="I3" s="123"/>
      <c r="J3" s="121">
        <v>1</v>
      </c>
      <c r="K3" s="121">
        <v>1</v>
      </c>
      <c r="L3" s="121">
        <v>1</v>
      </c>
      <c r="M3" s="121">
        <v>1</v>
      </c>
      <c r="N3" s="121">
        <v>1</v>
      </c>
      <c r="O3" s="121">
        <v>2</v>
      </c>
      <c r="P3" s="120">
        <f>0.6*0.9</f>
        <v>0.54</v>
      </c>
      <c r="Q3" s="121">
        <v>1</v>
      </c>
      <c r="R3" s="121">
        <v>1</v>
      </c>
      <c r="S3" s="121">
        <v>1</v>
      </c>
      <c r="T3" s="121">
        <v>1</v>
      </c>
      <c r="U3" s="123"/>
      <c r="V3" s="123"/>
      <c r="W3" s="123"/>
      <c r="X3" s="123"/>
      <c r="Y3" s="123"/>
      <c r="Z3" s="123"/>
      <c r="AA3" s="121">
        <v>1</v>
      </c>
      <c r="AB3" s="121">
        <v>1</v>
      </c>
      <c r="AC3" s="121">
        <v>1</v>
      </c>
      <c r="AD3" s="121">
        <v>1</v>
      </c>
      <c r="AE3" s="123"/>
      <c r="AF3" s="123"/>
      <c r="AG3" s="123"/>
      <c r="AH3" s="121">
        <v>1</v>
      </c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0">
        <f>1*0.25*1</f>
        <v>0.25</v>
      </c>
      <c r="AU3" s="123"/>
      <c r="AV3" s="123"/>
      <c r="AW3" s="123"/>
      <c r="AX3" s="123"/>
    </row>
    <row r="4" spans="1:50">
      <c r="A4" s="119" t="s">
        <v>117</v>
      </c>
      <c r="B4" s="121">
        <v>1</v>
      </c>
      <c r="C4" s="121">
        <v>1</v>
      </c>
      <c r="D4" s="121">
        <v>2</v>
      </c>
      <c r="E4" s="121">
        <v>1</v>
      </c>
      <c r="F4" s="123"/>
      <c r="G4" s="123"/>
      <c r="H4" s="121">
        <v>1</v>
      </c>
      <c r="I4" s="123"/>
      <c r="J4" s="121">
        <v>1</v>
      </c>
      <c r="K4" s="121">
        <v>1</v>
      </c>
      <c r="L4" s="121">
        <v>1</v>
      </c>
      <c r="M4" s="121">
        <v>1</v>
      </c>
      <c r="N4" s="121">
        <v>1</v>
      </c>
      <c r="O4" s="121">
        <v>2</v>
      </c>
      <c r="P4" s="120">
        <f>0.6*0.9</f>
        <v>0.54</v>
      </c>
      <c r="Q4" s="121">
        <v>1</v>
      </c>
      <c r="R4" s="121">
        <v>1</v>
      </c>
      <c r="S4" s="121">
        <v>1</v>
      </c>
      <c r="T4" s="121">
        <v>1</v>
      </c>
      <c r="U4" s="123"/>
      <c r="V4" s="123"/>
      <c r="W4" s="123"/>
      <c r="X4" s="123"/>
      <c r="Y4" s="123"/>
      <c r="Z4" s="123"/>
      <c r="AA4" s="121">
        <v>1</v>
      </c>
      <c r="AB4" s="121">
        <v>1</v>
      </c>
      <c r="AC4" s="121">
        <v>1</v>
      </c>
      <c r="AD4" s="121">
        <v>1</v>
      </c>
      <c r="AE4" s="123"/>
      <c r="AF4" s="123"/>
      <c r="AG4" s="123"/>
      <c r="AH4" s="121">
        <v>1</v>
      </c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</row>
    <row r="5" spans="1:50">
      <c r="A5" s="119" t="s">
        <v>116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0">
        <f>1.95*0.6</f>
        <v>1.17</v>
      </c>
      <c r="V5" s="123"/>
      <c r="W5" s="15">
        <v>1.95</v>
      </c>
      <c r="X5" s="15">
        <f>0.6+1.95+0.6</f>
        <v>3.15</v>
      </c>
      <c r="Y5" s="123"/>
      <c r="Z5" s="123"/>
      <c r="AA5" s="123"/>
      <c r="AB5" s="123"/>
      <c r="AC5" s="123"/>
      <c r="AD5" s="123"/>
      <c r="AE5" s="121">
        <v>1</v>
      </c>
      <c r="AF5" s="121">
        <v>1</v>
      </c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</row>
    <row r="6" spans="1:50">
      <c r="A6" s="119" t="s">
        <v>118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6">
        <f>(5+4.4+5)+(0.2+2.52+2.52+0.2)</f>
        <v>19.84</v>
      </c>
      <c r="AN6" s="6">
        <f>0.2+2.52+2.52+0.2</f>
        <v>5.44</v>
      </c>
      <c r="AO6" s="123"/>
      <c r="AP6" s="123"/>
      <c r="AQ6" s="123"/>
      <c r="AR6" s="123"/>
      <c r="AS6" s="123"/>
      <c r="AT6" s="120">
        <f>0.25*3</f>
        <v>0.75</v>
      </c>
      <c r="AU6" s="123"/>
      <c r="AV6" s="123"/>
      <c r="AW6" s="123"/>
      <c r="AX6" s="123"/>
    </row>
    <row r="7" spans="1:50">
      <c r="A7" s="119" t="s">
        <v>122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</row>
    <row r="8" spans="1:50">
      <c r="A8" s="119" t="s">
        <v>123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1">
        <v>3</v>
      </c>
      <c r="R8" s="121">
        <v>3</v>
      </c>
      <c r="S8" s="121">
        <v>3</v>
      </c>
      <c r="T8" s="123"/>
      <c r="U8" s="120">
        <f>0.5*3</f>
        <v>1.5</v>
      </c>
      <c r="V8" s="120">
        <f>(0.5*2.15*2)+(4*0.5)</f>
        <v>4.1500000000000004</v>
      </c>
      <c r="W8" s="6">
        <f>2.65+4+2.65+0.5+0.5+2.15+2.15+3+3</f>
        <v>20.6</v>
      </c>
      <c r="X8" s="15">
        <v>3</v>
      </c>
      <c r="Y8" s="121">
        <v>1</v>
      </c>
      <c r="Z8" s="123"/>
      <c r="AA8" s="121">
        <v>2</v>
      </c>
      <c r="AB8" s="123"/>
      <c r="AC8" s="123"/>
      <c r="AD8" s="121">
        <v>3</v>
      </c>
      <c r="AE8" s="121">
        <v>1</v>
      </c>
      <c r="AF8" s="121">
        <v>1</v>
      </c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0">
        <f>3*0.25*2.75</f>
        <v>2.0625</v>
      </c>
      <c r="AU8" s="123"/>
      <c r="AV8" s="123"/>
      <c r="AW8" s="123"/>
      <c r="AX8" s="123"/>
    </row>
    <row r="9" spans="1:50">
      <c r="A9" s="119" t="s">
        <v>117</v>
      </c>
      <c r="B9" s="121">
        <v>1</v>
      </c>
      <c r="C9" s="121">
        <v>1</v>
      </c>
      <c r="D9" s="121">
        <v>2</v>
      </c>
      <c r="E9" s="121">
        <v>1</v>
      </c>
      <c r="F9" s="123"/>
      <c r="G9" s="123"/>
      <c r="H9" s="121">
        <v>1</v>
      </c>
      <c r="I9" s="123"/>
      <c r="J9" s="121">
        <v>1</v>
      </c>
      <c r="K9" s="121">
        <v>1</v>
      </c>
      <c r="L9" s="121">
        <v>1</v>
      </c>
      <c r="M9" s="121">
        <v>1</v>
      </c>
      <c r="N9" s="121">
        <v>1</v>
      </c>
      <c r="O9" s="121">
        <v>2</v>
      </c>
      <c r="P9" s="120">
        <f t="shared" ref="P9:P10" si="0">0.6*0.9</f>
        <v>0.54</v>
      </c>
      <c r="Q9" s="121">
        <v>1</v>
      </c>
      <c r="R9" s="121">
        <v>1</v>
      </c>
      <c r="S9" s="121">
        <v>1</v>
      </c>
      <c r="T9" s="121">
        <v>1</v>
      </c>
      <c r="U9" s="123"/>
      <c r="V9" s="123"/>
      <c r="W9" s="123"/>
      <c r="X9" s="123"/>
      <c r="Y9" s="123"/>
      <c r="Z9" s="123"/>
      <c r="AA9" s="121">
        <v>1</v>
      </c>
      <c r="AB9" s="121">
        <v>1</v>
      </c>
      <c r="AC9" s="121">
        <v>1</v>
      </c>
      <c r="AD9" s="121">
        <v>1</v>
      </c>
      <c r="AE9" s="123"/>
      <c r="AF9" s="123"/>
      <c r="AG9" s="123"/>
      <c r="AH9" s="121">
        <v>1</v>
      </c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0">
        <f t="shared" ref="AT9:AT10" si="1">1*0.25*1</f>
        <v>0.25</v>
      </c>
      <c r="AU9" s="123"/>
      <c r="AV9" s="123"/>
      <c r="AW9" s="123"/>
      <c r="AX9" s="123"/>
    </row>
    <row r="10" spans="1:50">
      <c r="A10" s="119" t="s">
        <v>117</v>
      </c>
      <c r="B10" s="121">
        <v>1</v>
      </c>
      <c r="C10" s="121">
        <v>1</v>
      </c>
      <c r="D10" s="121">
        <v>2</v>
      </c>
      <c r="E10" s="121">
        <v>1</v>
      </c>
      <c r="F10" s="123"/>
      <c r="G10" s="123"/>
      <c r="H10" s="121">
        <v>1</v>
      </c>
      <c r="I10" s="123"/>
      <c r="J10" s="121">
        <v>1</v>
      </c>
      <c r="K10" s="121">
        <v>1</v>
      </c>
      <c r="L10" s="121">
        <v>1</v>
      </c>
      <c r="M10" s="121">
        <v>1</v>
      </c>
      <c r="N10" s="121">
        <v>1</v>
      </c>
      <c r="O10" s="121">
        <v>2</v>
      </c>
      <c r="P10" s="120">
        <f t="shared" si="0"/>
        <v>0.54</v>
      </c>
      <c r="Q10" s="121">
        <v>1</v>
      </c>
      <c r="R10" s="121">
        <v>1</v>
      </c>
      <c r="S10" s="121">
        <v>1</v>
      </c>
      <c r="T10" s="121">
        <v>1</v>
      </c>
      <c r="U10" s="123"/>
      <c r="V10" s="123"/>
      <c r="W10" s="123"/>
      <c r="X10" s="123"/>
      <c r="Y10" s="123"/>
      <c r="Z10" s="123"/>
      <c r="AA10" s="121">
        <v>1</v>
      </c>
      <c r="AB10" s="121">
        <v>1</v>
      </c>
      <c r="AC10" s="121">
        <v>1</v>
      </c>
      <c r="AD10" s="121">
        <v>1</v>
      </c>
      <c r="AE10" s="123"/>
      <c r="AF10" s="123"/>
      <c r="AG10" s="123"/>
      <c r="AH10" s="121">
        <v>1</v>
      </c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0">
        <f t="shared" si="1"/>
        <v>0.25</v>
      </c>
      <c r="AU10" s="123"/>
      <c r="AV10" s="123"/>
      <c r="AW10" s="123"/>
      <c r="AX10" s="123"/>
    </row>
    <row r="11" spans="1:50">
      <c r="A11" s="119" t="s">
        <v>116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0">
        <f>1.9*0.6</f>
        <v>1.1399999999999999</v>
      </c>
      <c r="V11" s="123"/>
      <c r="W11" s="15">
        <v>1.9</v>
      </c>
      <c r="X11" s="15">
        <f>0.6+1.9+0.6</f>
        <v>3.1</v>
      </c>
      <c r="Y11" s="123"/>
      <c r="Z11" s="123"/>
      <c r="AA11" s="123"/>
      <c r="AB11" s="123"/>
      <c r="AC11" s="123"/>
      <c r="AD11" s="123"/>
      <c r="AE11" s="121">
        <v>1</v>
      </c>
      <c r="AF11" s="121">
        <v>1</v>
      </c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</row>
    <row r="12" spans="1:50">
      <c r="A12" s="119" t="s">
        <v>112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</row>
    <row r="13" spans="1:50">
      <c r="A13" s="119" t="s">
        <v>119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6">
        <f>(5+4.4+5)+(0.2+2.52+2.52+0.2)</f>
        <v>19.84</v>
      </c>
      <c r="AN13" s="6">
        <f>0.2+2.52+2.52+0.2</f>
        <v>5.44</v>
      </c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</row>
    <row r="14" spans="1:50">
      <c r="A14" s="119" t="s">
        <v>117</v>
      </c>
      <c r="B14" s="121">
        <v>1</v>
      </c>
      <c r="C14" s="121">
        <v>1</v>
      </c>
      <c r="D14" s="121">
        <v>2</v>
      </c>
      <c r="E14" s="121">
        <v>1</v>
      </c>
      <c r="F14" s="123"/>
      <c r="G14" s="123"/>
      <c r="H14" s="121">
        <v>1</v>
      </c>
      <c r="I14" s="123"/>
      <c r="J14" s="121">
        <v>1</v>
      </c>
      <c r="K14" s="121">
        <v>1</v>
      </c>
      <c r="L14" s="121">
        <v>1</v>
      </c>
      <c r="M14" s="121">
        <v>1</v>
      </c>
      <c r="N14" s="121">
        <v>1</v>
      </c>
      <c r="O14" s="121">
        <v>2</v>
      </c>
      <c r="P14" s="120">
        <f>0.6*0.9</f>
        <v>0.54</v>
      </c>
      <c r="Q14" s="121">
        <v>1</v>
      </c>
      <c r="R14" s="121">
        <v>1</v>
      </c>
      <c r="S14" s="121">
        <v>1</v>
      </c>
      <c r="T14" s="121">
        <v>1</v>
      </c>
      <c r="U14" s="123"/>
      <c r="V14" s="123"/>
      <c r="W14" s="123"/>
      <c r="X14" s="123"/>
      <c r="Y14" s="123"/>
      <c r="Z14" s="123"/>
      <c r="AA14" s="121">
        <v>1</v>
      </c>
      <c r="AB14" s="121">
        <v>1</v>
      </c>
      <c r="AC14" s="121">
        <v>1</v>
      </c>
      <c r="AD14" s="121">
        <v>1</v>
      </c>
      <c r="AE14" s="123"/>
      <c r="AF14" s="123"/>
      <c r="AG14" s="123"/>
      <c r="AH14" s="121">
        <v>1</v>
      </c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</row>
    <row r="15" spans="1:50">
      <c r="A15" s="119" t="s">
        <v>5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1">
        <v>1</v>
      </c>
      <c r="AK15" s="121">
        <v>1</v>
      </c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</row>
    <row r="16" spans="1:50">
      <c r="A16" s="119" t="s">
        <v>117</v>
      </c>
      <c r="B16" s="121">
        <v>1</v>
      </c>
      <c r="C16" s="121">
        <v>1</v>
      </c>
      <c r="D16" s="121">
        <v>2</v>
      </c>
      <c r="E16" s="121">
        <v>1</v>
      </c>
      <c r="F16" s="123"/>
      <c r="G16" s="123"/>
      <c r="H16" s="121">
        <v>1</v>
      </c>
      <c r="I16" s="123"/>
      <c r="J16" s="121">
        <v>1</v>
      </c>
      <c r="K16" s="121">
        <v>1</v>
      </c>
      <c r="L16" s="121">
        <v>1</v>
      </c>
      <c r="M16" s="121">
        <v>1</v>
      </c>
      <c r="N16" s="121">
        <v>1</v>
      </c>
      <c r="O16" s="121">
        <v>2</v>
      </c>
      <c r="P16" s="120">
        <f>0.6*0.9</f>
        <v>0.54</v>
      </c>
      <c r="Q16" s="121">
        <v>1</v>
      </c>
      <c r="R16" s="121">
        <v>1</v>
      </c>
      <c r="S16" s="121">
        <v>1</v>
      </c>
      <c r="T16" s="121">
        <v>1</v>
      </c>
      <c r="U16" s="123"/>
      <c r="V16" s="123"/>
      <c r="W16" s="123"/>
      <c r="X16" s="123"/>
      <c r="Y16" s="123"/>
      <c r="Z16" s="123"/>
      <c r="AA16" s="121">
        <v>1</v>
      </c>
      <c r="AB16" s="121">
        <v>1</v>
      </c>
      <c r="AC16" s="121">
        <v>1</v>
      </c>
      <c r="AD16" s="121">
        <v>1</v>
      </c>
      <c r="AE16" s="123"/>
      <c r="AF16" s="123"/>
      <c r="AG16" s="123"/>
      <c r="AH16" s="121">
        <v>1</v>
      </c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</row>
    <row r="17" spans="1:50">
      <c r="A17" s="119" t="s">
        <v>124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</row>
    <row r="18" spans="1:50">
      <c r="A18" s="119" t="s">
        <v>116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0">
        <f>0.6*(1.55+1.4)</f>
        <v>1.77</v>
      </c>
      <c r="V18" s="123"/>
      <c r="W18" s="15">
        <f>0.6+1.55+0.6+0.6+1.4</f>
        <v>4.75</v>
      </c>
      <c r="X18" s="15">
        <f>1.55+1.4+0.6</f>
        <v>3.5500000000000003</v>
      </c>
      <c r="Y18" s="123"/>
      <c r="Z18" s="123"/>
      <c r="AA18" s="123"/>
      <c r="AB18" s="123"/>
      <c r="AC18" s="123"/>
      <c r="AD18" s="123"/>
      <c r="AE18" s="121">
        <v>1</v>
      </c>
      <c r="AF18" s="121">
        <v>1</v>
      </c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</row>
    <row r="19" spans="1:50">
      <c r="A19" s="119" t="s">
        <v>125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0">
        <f>2*0.25*2</f>
        <v>1</v>
      </c>
      <c r="AU19" s="123"/>
      <c r="AV19" s="123"/>
      <c r="AW19" s="120">
        <f>3.4*(3.45+5.26+2.23+2.23)-(2*0.8*2.1)-(2*0.7*2.1)</f>
        <v>38.478000000000009</v>
      </c>
      <c r="AX19" s="123"/>
    </row>
    <row r="20" spans="1:50">
      <c r="A20" s="119" t="s">
        <v>120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6">
        <f>(10.65+10.65+(4*10.5)+0.2+0.2+0.2)+(12.85+12.85+4.4+4.4+4.4)</f>
        <v>102.80000000000001</v>
      </c>
      <c r="AN20" s="6">
        <f>10.65+10.65+(4*10.5)+0.2+0.2+0.2</f>
        <v>63.900000000000006</v>
      </c>
      <c r="AO20" s="123"/>
      <c r="AP20" s="123"/>
      <c r="AQ20" s="123"/>
      <c r="AR20" s="123"/>
      <c r="AS20" s="123"/>
      <c r="AT20" s="120">
        <f>2*0.25*2</f>
        <v>1</v>
      </c>
      <c r="AU20" s="123"/>
      <c r="AV20" s="123"/>
      <c r="AW20" s="123"/>
      <c r="AX20" s="123"/>
    </row>
    <row r="21" spans="1:50">
      <c r="A21" s="119" t="s">
        <v>4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5">
        <f>91.3+10.74</f>
        <v>102.03999999999999</v>
      </c>
      <c r="AM21" s="123"/>
      <c r="AN21" s="123"/>
      <c r="AO21" s="123"/>
      <c r="AP21" s="123"/>
      <c r="AQ21" s="123"/>
      <c r="AR21" s="123"/>
      <c r="AS21" s="123"/>
      <c r="AT21" s="120">
        <f>1*0.25*2</f>
        <v>0.5</v>
      </c>
      <c r="AU21" s="120">
        <f>1.9*3.4</f>
        <v>6.46</v>
      </c>
      <c r="AV21" s="123"/>
      <c r="AW21" s="123"/>
      <c r="AX21" s="123"/>
    </row>
    <row r="22" spans="1:50">
      <c r="A22" s="119" t="s">
        <v>126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1">
        <v>1</v>
      </c>
      <c r="R22" s="121">
        <v>1</v>
      </c>
      <c r="S22" s="121">
        <v>1</v>
      </c>
      <c r="T22" s="123"/>
      <c r="U22" s="120">
        <f>0.45*1.8</f>
        <v>0.81</v>
      </c>
      <c r="V22" s="123"/>
      <c r="W22" s="15">
        <v>1.8</v>
      </c>
      <c r="X22" s="15">
        <f>1.8+0.45+0.45</f>
        <v>2.7</v>
      </c>
      <c r="Y22" s="121">
        <v>1</v>
      </c>
      <c r="Z22" s="123"/>
      <c r="AA22" s="123"/>
      <c r="AB22" s="123"/>
      <c r="AC22" s="123"/>
      <c r="AD22" s="121">
        <v>1</v>
      </c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0">
        <f>1*0.25*2</f>
        <v>0.5</v>
      </c>
      <c r="AU22" s="123"/>
      <c r="AV22" s="123"/>
      <c r="AW22" s="123"/>
      <c r="AX22" s="123"/>
    </row>
    <row r="23" spans="1:50">
      <c r="A23" s="119" t="s">
        <v>117</v>
      </c>
      <c r="B23" s="121">
        <v>1</v>
      </c>
      <c r="C23" s="121">
        <v>1</v>
      </c>
      <c r="D23" s="121">
        <v>2</v>
      </c>
      <c r="E23" s="121">
        <v>1</v>
      </c>
      <c r="F23" s="123"/>
      <c r="G23" s="123"/>
      <c r="H23" s="121">
        <v>1</v>
      </c>
      <c r="I23" s="123"/>
      <c r="J23" s="121">
        <v>1</v>
      </c>
      <c r="K23" s="121">
        <v>1</v>
      </c>
      <c r="L23" s="121">
        <v>1</v>
      </c>
      <c r="M23" s="121">
        <v>1</v>
      </c>
      <c r="N23" s="121">
        <v>1</v>
      </c>
      <c r="O23" s="121">
        <v>2</v>
      </c>
      <c r="P23" s="120">
        <f>0.6*0.9</f>
        <v>0.54</v>
      </c>
      <c r="Q23" s="121">
        <v>1</v>
      </c>
      <c r="R23" s="121">
        <v>1</v>
      </c>
      <c r="S23" s="121">
        <v>1</v>
      </c>
      <c r="T23" s="121">
        <v>1</v>
      </c>
      <c r="U23" s="123"/>
      <c r="V23" s="123"/>
      <c r="W23" s="123"/>
      <c r="X23" s="123"/>
      <c r="Y23" s="123"/>
      <c r="Z23" s="123"/>
      <c r="AA23" s="121">
        <v>1</v>
      </c>
      <c r="AB23" s="121">
        <v>1</v>
      </c>
      <c r="AC23" s="121">
        <v>1</v>
      </c>
      <c r="AD23" s="121">
        <v>1</v>
      </c>
      <c r="AE23" s="123"/>
      <c r="AF23" s="123"/>
      <c r="AG23" s="123"/>
      <c r="AH23" s="121">
        <v>1</v>
      </c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</row>
    <row r="24" spans="1:50">
      <c r="A24" s="119" t="s">
        <v>127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1">
        <v>1</v>
      </c>
      <c r="R24" s="121">
        <v>1</v>
      </c>
      <c r="S24" s="121">
        <v>1</v>
      </c>
      <c r="T24" s="123"/>
      <c r="U24" s="120">
        <f>0.45*1.8</f>
        <v>0.81</v>
      </c>
      <c r="V24" s="123"/>
      <c r="W24" s="15">
        <v>1.8</v>
      </c>
      <c r="X24" s="15">
        <f>1.8+0.45+0.45</f>
        <v>2.7</v>
      </c>
      <c r="Y24" s="121">
        <v>1</v>
      </c>
      <c r="Z24" s="123"/>
      <c r="AA24" s="123"/>
      <c r="AB24" s="123"/>
      <c r="AC24" s="123"/>
      <c r="AD24" s="121">
        <v>1</v>
      </c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</row>
    <row r="25" spans="1:50">
      <c r="A25" s="119" t="s">
        <v>117</v>
      </c>
      <c r="B25" s="121">
        <v>1</v>
      </c>
      <c r="C25" s="121">
        <v>1</v>
      </c>
      <c r="D25" s="121">
        <v>2</v>
      </c>
      <c r="E25" s="121">
        <v>1</v>
      </c>
      <c r="F25" s="123"/>
      <c r="G25" s="123"/>
      <c r="H25" s="121">
        <v>1</v>
      </c>
      <c r="I25" s="123"/>
      <c r="J25" s="121">
        <v>1</v>
      </c>
      <c r="K25" s="121">
        <v>1</v>
      </c>
      <c r="L25" s="121">
        <v>1</v>
      </c>
      <c r="M25" s="121">
        <v>1</v>
      </c>
      <c r="N25" s="121">
        <v>1</v>
      </c>
      <c r="O25" s="121">
        <v>2</v>
      </c>
      <c r="P25" s="120">
        <f>0.6*0.9</f>
        <v>0.54</v>
      </c>
      <c r="Q25" s="121">
        <v>1</v>
      </c>
      <c r="R25" s="121">
        <v>1</v>
      </c>
      <c r="S25" s="121">
        <v>1</v>
      </c>
      <c r="T25" s="121">
        <v>1</v>
      </c>
      <c r="U25" s="123"/>
      <c r="V25" s="123"/>
      <c r="W25" s="123"/>
      <c r="X25" s="123"/>
      <c r="Y25" s="123"/>
      <c r="Z25" s="123"/>
      <c r="AA25" s="121">
        <v>1</v>
      </c>
      <c r="AB25" s="121">
        <v>1</v>
      </c>
      <c r="AC25" s="121">
        <v>1</v>
      </c>
      <c r="AD25" s="121">
        <v>1</v>
      </c>
      <c r="AE25" s="123"/>
      <c r="AF25" s="123"/>
      <c r="AG25" s="123"/>
      <c r="AH25" s="121">
        <v>1</v>
      </c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</row>
    <row r="26" spans="1:50">
      <c r="A26" s="119" t="s">
        <v>128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1">
        <v>4</v>
      </c>
      <c r="R26" s="121">
        <v>4</v>
      </c>
      <c r="S26" s="121">
        <v>4</v>
      </c>
      <c r="T26" s="123"/>
      <c r="U26" s="120">
        <f>3.69*0.6</f>
        <v>2.214</v>
      </c>
      <c r="V26" s="120">
        <f>(0.6*3.85)+(0.5*0.75)</f>
        <v>2.6850000000000001</v>
      </c>
      <c r="W26" s="6">
        <f>3.69+3.85+1.35+0.5+0.75+3.35</f>
        <v>13.49</v>
      </c>
      <c r="X26" s="15">
        <f>0.6+0.6+3.69</f>
        <v>4.8899999999999997</v>
      </c>
      <c r="Y26" s="121">
        <v>1</v>
      </c>
      <c r="Z26" s="123"/>
      <c r="AA26" s="121">
        <v>2</v>
      </c>
      <c r="AB26" s="123"/>
      <c r="AC26" s="123"/>
      <c r="AD26" s="121">
        <v>3</v>
      </c>
      <c r="AE26" s="121">
        <v>1</v>
      </c>
      <c r="AF26" s="121">
        <v>1</v>
      </c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0">
        <f>(1*0.25*2)+(0.25*11.55)+(0.25*3.35)+(0.5*1.75)</f>
        <v>5.1000000000000005</v>
      </c>
      <c r="AU26" s="123"/>
      <c r="AV26" s="123"/>
      <c r="AW26" s="123"/>
      <c r="AX26" s="123"/>
    </row>
    <row r="27" spans="1:50">
      <c r="A27" s="119" t="s">
        <v>129</v>
      </c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</row>
    <row r="28" spans="1:50">
      <c r="A28" s="119" t="s">
        <v>117</v>
      </c>
      <c r="B28" s="121">
        <v>1</v>
      </c>
      <c r="C28" s="121">
        <v>1</v>
      </c>
      <c r="D28" s="121">
        <v>2</v>
      </c>
      <c r="E28" s="121">
        <v>1</v>
      </c>
      <c r="F28" s="123"/>
      <c r="G28" s="123"/>
      <c r="H28" s="121">
        <v>1</v>
      </c>
      <c r="I28" s="123"/>
      <c r="J28" s="121">
        <v>1</v>
      </c>
      <c r="K28" s="121">
        <v>1</v>
      </c>
      <c r="L28" s="121">
        <v>1</v>
      </c>
      <c r="M28" s="121">
        <v>1</v>
      </c>
      <c r="N28" s="121">
        <v>1</v>
      </c>
      <c r="O28" s="121">
        <v>2</v>
      </c>
      <c r="P28" s="120">
        <f t="shared" ref="P28:P29" si="2">0.6*0.9</f>
        <v>0.54</v>
      </c>
      <c r="Q28" s="121">
        <v>1</v>
      </c>
      <c r="R28" s="121">
        <v>1</v>
      </c>
      <c r="S28" s="121">
        <v>1</v>
      </c>
      <c r="T28" s="121">
        <v>1</v>
      </c>
      <c r="U28" s="123"/>
      <c r="V28" s="123"/>
      <c r="W28" s="123"/>
      <c r="X28" s="123"/>
      <c r="Y28" s="123"/>
      <c r="Z28" s="123"/>
      <c r="AA28" s="121">
        <v>1</v>
      </c>
      <c r="AB28" s="121">
        <v>1</v>
      </c>
      <c r="AC28" s="121">
        <v>1</v>
      </c>
      <c r="AD28" s="121">
        <v>1</v>
      </c>
      <c r="AE28" s="123"/>
      <c r="AF28" s="123"/>
      <c r="AG28" s="123"/>
      <c r="AH28" s="121">
        <v>1</v>
      </c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</row>
    <row r="29" spans="1:50">
      <c r="A29" s="119" t="s">
        <v>117</v>
      </c>
      <c r="B29" s="121">
        <v>1</v>
      </c>
      <c r="C29" s="121">
        <v>1</v>
      </c>
      <c r="D29" s="121">
        <v>2</v>
      </c>
      <c r="E29" s="121">
        <v>1</v>
      </c>
      <c r="F29" s="123"/>
      <c r="G29" s="123"/>
      <c r="H29" s="121">
        <v>1</v>
      </c>
      <c r="I29" s="123"/>
      <c r="J29" s="121">
        <v>1</v>
      </c>
      <c r="K29" s="121">
        <v>1</v>
      </c>
      <c r="L29" s="121">
        <v>1</v>
      </c>
      <c r="M29" s="121">
        <v>1</v>
      </c>
      <c r="N29" s="121">
        <v>1</v>
      </c>
      <c r="O29" s="121">
        <v>2</v>
      </c>
      <c r="P29" s="120">
        <f t="shared" si="2"/>
        <v>0.54</v>
      </c>
      <c r="Q29" s="121">
        <v>1</v>
      </c>
      <c r="R29" s="121">
        <v>1</v>
      </c>
      <c r="S29" s="121">
        <v>1</v>
      </c>
      <c r="T29" s="121">
        <v>1</v>
      </c>
      <c r="U29" s="123"/>
      <c r="V29" s="123"/>
      <c r="W29" s="123"/>
      <c r="X29" s="123"/>
      <c r="Y29" s="123"/>
      <c r="Z29" s="123"/>
      <c r="AA29" s="121">
        <v>1</v>
      </c>
      <c r="AB29" s="121">
        <v>1</v>
      </c>
      <c r="AC29" s="121">
        <v>1</v>
      </c>
      <c r="AD29" s="121">
        <v>1</v>
      </c>
      <c r="AE29" s="123"/>
      <c r="AF29" s="123"/>
      <c r="AG29" s="123"/>
      <c r="AH29" s="121">
        <v>1</v>
      </c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</row>
    <row r="30" spans="1:50">
      <c r="A30" s="119" t="s">
        <v>113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1">
        <v>1</v>
      </c>
      <c r="R30" s="121">
        <v>1</v>
      </c>
      <c r="S30" s="121">
        <v>1</v>
      </c>
      <c r="T30" s="123"/>
      <c r="U30" s="120">
        <f>0.6*2</f>
        <v>1.2</v>
      </c>
      <c r="V30" s="123"/>
      <c r="W30" s="15">
        <f>0.6+2</f>
        <v>2.6</v>
      </c>
      <c r="X30" s="15">
        <f>0.6+2</f>
        <v>2.6</v>
      </c>
      <c r="Y30" s="123"/>
      <c r="Z30" s="123"/>
      <c r="AA30" s="123"/>
      <c r="AB30" s="123"/>
      <c r="AC30" s="123"/>
      <c r="AD30" s="123"/>
      <c r="AE30" s="121">
        <v>1</v>
      </c>
      <c r="AF30" s="121">
        <v>1</v>
      </c>
      <c r="AG30" s="121">
        <v>1</v>
      </c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</row>
    <row r="31" spans="1:50">
      <c r="A31" s="119" t="s">
        <v>115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0">
        <f>0.25*5.1</f>
        <v>1.2749999999999999</v>
      </c>
      <c r="AU31" s="123"/>
      <c r="AV31" s="123"/>
      <c r="AW31" s="123"/>
      <c r="AX31" s="123"/>
    </row>
    <row r="32" spans="1:50">
      <c r="A32" s="119" t="s">
        <v>111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0">
        <f>0.25*1.85</f>
        <v>0.46250000000000002</v>
      </c>
      <c r="AU32" s="123"/>
      <c r="AV32" s="123"/>
      <c r="AW32" s="123"/>
      <c r="AX32" s="123"/>
    </row>
    <row r="33" spans="1:50">
      <c r="A33" s="119" t="s">
        <v>117</v>
      </c>
      <c r="B33" s="121">
        <v>1</v>
      </c>
      <c r="C33" s="121">
        <v>1</v>
      </c>
      <c r="D33" s="121">
        <v>2</v>
      </c>
      <c r="E33" s="121">
        <v>1</v>
      </c>
      <c r="F33" s="123"/>
      <c r="G33" s="123"/>
      <c r="H33" s="121">
        <v>1</v>
      </c>
      <c r="I33" s="123"/>
      <c r="J33" s="121">
        <v>1</v>
      </c>
      <c r="K33" s="121">
        <v>1</v>
      </c>
      <c r="L33" s="121">
        <v>1</v>
      </c>
      <c r="M33" s="121">
        <v>1</v>
      </c>
      <c r="N33" s="121">
        <v>1</v>
      </c>
      <c r="O33" s="121">
        <v>2</v>
      </c>
      <c r="P33" s="120">
        <f t="shared" ref="P33:P34" si="3">0.6*0.9</f>
        <v>0.54</v>
      </c>
      <c r="Q33" s="121">
        <v>1</v>
      </c>
      <c r="R33" s="121">
        <v>1</v>
      </c>
      <c r="S33" s="121">
        <v>1</v>
      </c>
      <c r="T33" s="121">
        <v>1</v>
      </c>
      <c r="U33" s="123"/>
      <c r="V33" s="123"/>
      <c r="W33" s="123"/>
      <c r="X33" s="123"/>
      <c r="Y33" s="123"/>
      <c r="Z33" s="123"/>
      <c r="AA33" s="121">
        <v>1</v>
      </c>
      <c r="AB33" s="121">
        <v>1</v>
      </c>
      <c r="AC33" s="121">
        <v>1</v>
      </c>
      <c r="AD33" s="121">
        <v>1</v>
      </c>
      <c r="AE33" s="123"/>
      <c r="AF33" s="123"/>
      <c r="AG33" s="123"/>
      <c r="AH33" s="121">
        <v>1</v>
      </c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0">
        <f>0.25*2</f>
        <v>0.5</v>
      </c>
      <c r="AU33" s="123"/>
      <c r="AV33" s="123"/>
      <c r="AW33" s="123"/>
      <c r="AX33" s="123"/>
    </row>
    <row r="34" spans="1:50">
      <c r="A34" s="119" t="s">
        <v>117</v>
      </c>
      <c r="B34" s="121">
        <v>1</v>
      </c>
      <c r="C34" s="121">
        <v>1</v>
      </c>
      <c r="D34" s="121">
        <v>2</v>
      </c>
      <c r="E34" s="121">
        <v>1</v>
      </c>
      <c r="F34" s="123"/>
      <c r="G34" s="123"/>
      <c r="H34" s="121">
        <v>1</v>
      </c>
      <c r="I34" s="123"/>
      <c r="J34" s="121">
        <v>1</v>
      </c>
      <c r="K34" s="121">
        <v>1</v>
      </c>
      <c r="L34" s="121">
        <v>1</v>
      </c>
      <c r="M34" s="121">
        <v>1</v>
      </c>
      <c r="N34" s="121">
        <v>1</v>
      </c>
      <c r="O34" s="121">
        <v>2</v>
      </c>
      <c r="P34" s="120">
        <f t="shared" si="3"/>
        <v>0.54</v>
      </c>
      <c r="Q34" s="121">
        <v>1</v>
      </c>
      <c r="R34" s="121">
        <v>1</v>
      </c>
      <c r="S34" s="121">
        <v>1</v>
      </c>
      <c r="T34" s="121">
        <v>1</v>
      </c>
      <c r="U34" s="123"/>
      <c r="V34" s="123"/>
      <c r="W34" s="123"/>
      <c r="X34" s="123"/>
      <c r="Y34" s="123"/>
      <c r="Z34" s="123"/>
      <c r="AA34" s="121">
        <v>1</v>
      </c>
      <c r="AB34" s="121">
        <v>1</v>
      </c>
      <c r="AC34" s="121">
        <v>1</v>
      </c>
      <c r="AD34" s="121">
        <v>1</v>
      </c>
      <c r="AE34" s="123"/>
      <c r="AF34" s="123"/>
      <c r="AG34" s="123"/>
      <c r="AH34" s="121">
        <v>1</v>
      </c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0">
        <f>0.25*2</f>
        <v>0.5</v>
      </c>
      <c r="AU34" s="123"/>
      <c r="AV34" s="123"/>
      <c r="AW34" s="123"/>
      <c r="AX34" s="123"/>
    </row>
    <row r="35" spans="1:50">
      <c r="A35" s="119" t="s">
        <v>130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1">
        <v>3</v>
      </c>
      <c r="R35" s="121">
        <v>3</v>
      </c>
      <c r="S35" s="121">
        <v>3</v>
      </c>
      <c r="T35" s="123"/>
      <c r="U35" s="120">
        <f>0.45*3.2</f>
        <v>1.4400000000000002</v>
      </c>
      <c r="V35" s="120">
        <f>0.6*(1.45+0.45+3.2)</f>
        <v>3.0599999999999996</v>
      </c>
      <c r="W35" s="15">
        <f>2.05+4.4+1.05+0.6+0.45+3.2+1.45+3.2</f>
        <v>16.399999999999999</v>
      </c>
      <c r="X35" s="15">
        <f>3.2+0.6</f>
        <v>3.8000000000000003</v>
      </c>
      <c r="Y35" s="121">
        <v>1</v>
      </c>
      <c r="Z35" s="123"/>
      <c r="AA35" s="121">
        <v>2</v>
      </c>
      <c r="AB35" s="123"/>
      <c r="AC35" s="123"/>
      <c r="AD35" s="121">
        <v>3</v>
      </c>
      <c r="AE35" s="121">
        <v>1</v>
      </c>
      <c r="AF35" s="121">
        <v>1</v>
      </c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0">
        <f>0.25*13.9</f>
        <v>3.4750000000000001</v>
      </c>
      <c r="AU35" s="123"/>
      <c r="AV35" s="123"/>
      <c r="AW35" s="123"/>
      <c r="AX35" s="123"/>
    </row>
    <row r="36" spans="1:50" hidden="1"/>
    <row r="37" spans="1:50" hidden="1"/>
    <row r="38" spans="1:50" hidden="1"/>
    <row r="39" spans="1:50" hidden="1"/>
    <row r="40" spans="1:50" hidden="1"/>
    <row r="41" spans="1:50" hidden="1"/>
    <row r="42" spans="1:50" hidden="1"/>
    <row r="43" spans="1:50" hidden="1"/>
    <row r="44" spans="1:50" hidden="1"/>
    <row r="45" spans="1:50" hidden="1"/>
    <row r="46" spans="1:50" hidden="1"/>
    <row r="47" spans="1:50" hidden="1"/>
    <row r="48" spans="1:50" hidden="1"/>
    <row r="49" spans="1:50" hidden="1"/>
    <row r="50" spans="1:50" hidden="1"/>
    <row r="51" spans="1:50" hidden="1"/>
    <row r="52" spans="1:50" hidden="1"/>
    <row r="53" spans="1:50" hidden="1"/>
    <row r="54" spans="1:50" hidden="1"/>
    <row r="57" spans="1:50">
      <c r="A57" s="132" t="s">
        <v>83</v>
      </c>
      <c r="B57" s="31">
        <f>SUM(B2:B35)</f>
        <v>12</v>
      </c>
      <c r="C57" s="31">
        <f>SUM(C2:C35)</f>
        <v>12</v>
      </c>
      <c r="D57" s="31">
        <f>SUM(D2:D35)</f>
        <v>24</v>
      </c>
      <c r="E57" s="31">
        <f>SUM(E2:E35)</f>
        <v>12</v>
      </c>
      <c r="F57" s="123"/>
      <c r="G57" s="123"/>
      <c r="H57" s="31">
        <f>SUM(H2:H35)</f>
        <v>12</v>
      </c>
      <c r="I57" s="124"/>
      <c r="J57" s="31">
        <f t="shared" ref="J57:AH57" si="4">SUM(J2:J35)</f>
        <v>12</v>
      </c>
      <c r="K57" s="31">
        <f t="shared" si="4"/>
        <v>12</v>
      </c>
      <c r="L57" s="31">
        <f t="shared" si="4"/>
        <v>12</v>
      </c>
      <c r="M57" s="31">
        <f t="shared" si="4"/>
        <v>12</v>
      </c>
      <c r="N57" s="31">
        <f t="shared" si="4"/>
        <v>12</v>
      </c>
      <c r="O57" s="31">
        <f t="shared" si="4"/>
        <v>24</v>
      </c>
      <c r="P57" s="43">
        <f t="shared" si="4"/>
        <v>6.48</v>
      </c>
      <c r="Q57" s="31">
        <f t="shared" si="4"/>
        <v>28</v>
      </c>
      <c r="R57" s="31">
        <f t="shared" si="4"/>
        <v>28</v>
      </c>
      <c r="S57" s="31">
        <f t="shared" si="4"/>
        <v>28</v>
      </c>
      <c r="T57" s="31">
        <f t="shared" si="4"/>
        <v>12</v>
      </c>
      <c r="U57" s="43">
        <f t="shared" si="4"/>
        <v>13.494</v>
      </c>
      <c r="V57" s="43">
        <f t="shared" si="4"/>
        <v>13.745000000000001</v>
      </c>
      <c r="W57" s="37">
        <f t="shared" si="4"/>
        <v>84.619999999999976</v>
      </c>
      <c r="X57" s="37">
        <f t="shared" si="4"/>
        <v>32.69</v>
      </c>
      <c r="Y57" s="31">
        <f t="shared" si="4"/>
        <v>6</v>
      </c>
      <c r="Z57" s="123"/>
      <c r="AA57" s="31">
        <f t="shared" si="4"/>
        <v>20</v>
      </c>
      <c r="AB57" s="31">
        <f t="shared" si="4"/>
        <v>12</v>
      </c>
      <c r="AC57" s="31">
        <f t="shared" si="4"/>
        <v>12</v>
      </c>
      <c r="AD57" s="31">
        <f t="shared" si="4"/>
        <v>26</v>
      </c>
      <c r="AE57" s="31">
        <f t="shared" si="4"/>
        <v>8</v>
      </c>
      <c r="AF57" s="31">
        <f t="shared" si="4"/>
        <v>8</v>
      </c>
      <c r="AG57" s="122">
        <f t="shared" si="4"/>
        <v>1</v>
      </c>
      <c r="AH57" s="31">
        <f t="shared" si="4"/>
        <v>12</v>
      </c>
      <c r="AI57" s="124"/>
      <c r="AJ57" s="122">
        <f>SUM(AJ2:AJ35)</f>
        <v>1</v>
      </c>
      <c r="AK57" s="122">
        <f>SUM(AK2:AK35)</f>
        <v>1</v>
      </c>
      <c r="AL57" s="37">
        <f>SUM(AL2:AL35)</f>
        <v>102.03999999999999</v>
      </c>
      <c r="AM57" s="37">
        <f>SUM(AM2:AM35)</f>
        <v>142.48000000000002</v>
      </c>
      <c r="AN57" s="37">
        <f>SUM(AN2:AN35)</f>
        <v>74.78</v>
      </c>
      <c r="AO57" s="123"/>
      <c r="AP57" s="123"/>
      <c r="AQ57" s="123"/>
      <c r="AR57" s="123"/>
      <c r="AS57" s="123"/>
      <c r="AT57" s="39">
        <f>SUM(AT2:AT35)</f>
        <v>19.375000000000004</v>
      </c>
      <c r="AU57" s="39">
        <f>SUM(AU2:AU35)</f>
        <v>6.46</v>
      </c>
      <c r="AV57" s="123"/>
      <c r="AW57" s="39">
        <f>SUM(AW2:AW35)</f>
        <v>38.478000000000009</v>
      </c>
      <c r="AX57" s="123"/>
    </row>
    <row r="58" spans="1:50" hidden="1"/>
    <row r="59" spans="1:50" hidden="1">
      <c r="B59" s="66" t="s">
        <v>369</v>
      </c>
      <c r="C59" s="66" t="s">
        <v>370</v>
      </c>
      <c r="D59" s="66" t="s">
        <v>371</v>
      </c>
      <c r="E59" s="66" t="s">
        <v>337</v>
      </c>
      <c r="F59" s="66" t="s">
        <v>337</v>
      </c>
      <c r="G59" s="66" t="s">
        <v>372</v>
      </c>
      <c r="H59" s="66" t="s">
        <v>373</v>
      </c>
      <c r="I59" s="66" t="s">
        <v>374</v>
      </c>
      <c r="J59" s="66" t="s">
        <v>375</v>
      </c>
      <c r="K59" s="66" t="s">
        <v>376</v>
      </c>
      <c r="L59" s="66" t="s">
        <v>377</v>
      </c>
      <c r="M59" s="66" t="s">
        <v>378</v>
      </c>
      <c r="N59" s="66" t="s">
        <v>337</v>
      </c>
      <c r="O59" s="66" t="s">
        <v>379</v>
      </c>
      <c r="P59" s="66" t="s">
        <v>380</v>
      </c>
      <c r="Q59" s="66" t="s">
        <v>381</v>
      </c>
      <c r="R59" s="66" t="s">
        <v>382</v>
      </c>
      <c r="S59" s="66" t="s">
        <v>383</v>
      </c>
      <c r="T59" s="66" t="s">
        <v>384</v>
      </c>
      <c r="U59" s="66" t="s">
        <v>337</v>
      </c>
      <c r="V59" s="66" t="s">
        <v>385</v>
      </c>
      <c r="W59" s="66" t="s">
        <v>386</v>
      </c>
      <c r="X59" s="66" t="s">
        <v>387</v>
      </c>
      <c r="Y59" s="66" t="s">
        <v>388</v>
      </c>
      <c r="Z59" s="66" t="s">
        <v>389</v>
      </c>
      <c r="AA59" s="66" t="s">
        <v>390</v>
      </c>
      <c r="AB59" s="66" t="s">
        <v>337</v>
      </c>
      <c r="AC59" s="66" t="s">
        <v>337</v>
      </c>
      <c r="AD59" s="66" t="s">
        <v>391</v>
      </c>
      <c r="AE59" s="66" t="s">
        <v>392</v>
      </c>
      <c r="AF59" s="66" t="s">
        <v>393</v>
      </c>
      <c r="AG59" s="66" t="s">
        <v>337</v>
      </c>
      <c r="AH59" s="66" t="s">
        <v>337</v>
      </c>
      <c r="AI59" s="66" t="s">
        <v>394</v>
      </c>
      <c r="AJ59" s="135" t="s">
        <v>395</v>
      </c>
      <c r="AK59" s="66" t="s">
        <v>396</v>
      </c>
      <c r="AL59" s="66" t="s">
        <v>397</v>
      </c>
      <c r="AM59" s="66" t="s">
        <v>398</v>
      </c>
      <c r="AN59" s="66" t="s">
        <v>399</v>
      </c>
      <c r="AO59" s="66" t="s">
        <v>400</v>
      </c>
      <c r="AP59" s="66" t="s">
        <v>337</v>
      </c>
      <c r="AQ59" s="66" t="s">
        <v>401</v>
      </c>
      <c r="AR59" s="66" t="s">
        <v>402</v>
      </c>
      <c r="AS59" s="66" t="s">
        <v>403</v>
      </c>
      <c r="AT59" s="66" t="s">
        <v>404</v>
      </c>
      <c r="AU59" s="66" t="s">
        <v>405</v>
      </c>
      <c r="AV59" s="66" t="s">
        <v>337</v>
      </c>
      <c r="AW59" s="66" t="s">
        <v>337</v>
      </c>
      <c r="AX59" s="66" t="s">
        <v>337</v>
      </c>
    </row>
    <row r="60" spans="1:50" hidden="1"/>
    <row r="61" spans="1:50" hidden="1">
      <c r="AM61" s="66" t="s">
        <v>406</v>
      </c>
    </row>
  </sheetData>
  <pageMargins left="0.51181102362204722" right="0.51181102362204722" top="0.78740157480314965" bottom="0.78740157480314965" header="0.31496062992125984" footer="0.31496062992125984"/>
  <pageSetup paperSize="9" scale="61" orientation="landscape" r:id="rId1"/>
  <headerFooter>
    <oddHeader>&amp;A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L11"/>
  <sheetViews>
    <sheetView zoomScale="85" zoomScaleNormal="85" workbookViewId="0">
      <selection activeCell="AD37" sqref="AD37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4" t="s">
        <v>434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</row>
    <row r="2" spans="1:38" s="3" customFormat="1">
      <c r="A2" s="12" t="s">
        <v>21</v>
      </c>
      <c r="D2" s="154" t="s">
        <v>6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</row>
    <row r="3" spans="1:38" s="3" customFormat="1">
      <c r="A3" s="46">
        <v>3.75</v>
      </c>
      <c r="D3" s="157" t="s">
        <v>9</v>
      </c>
      <c r="E3" s="158"/>
      <c r="F3" s="157" t="s">
        <v>12</v>
      </c>
      <c r="G3" s="158"/>
      <c r="H3" s="157" t="s">
        <v>13</v>
      </c>
      <c r="I3" s="158"/>
      <c r="J3" s="157" t="s">
        <v>14</v>
      </c>
      <c r="K3" s="158"/>
      <c r="L3" s="157" t="s">
        <v>15</v>
      </c>
      <c r="M3" s="158"/>
      <c r="N3" s="157" t="s">
        <v>16</v>
      </c>
      <c r="O3" s="158"/>
      <c r="P3" s="157" t="s">
        <v>17</v>
      </c>
      <c r="Q3" s="158"/>
      <c r="R3" s="154" t="s">
        <v>18</v>
      </c>
      <c r="S3" s="154"/>
      <c r="T3" s="154" t="s">
        <v>19</v>
      </c>
      <c r="U3" s="154"/>
      <c r="V3" s="154" t="s">
        <v>20</v>
      </c>
      <c r="W3" s="154"/>
      <c r="X3" s="154" t="s">
        <v>22</v>
      </c>
      <c r="Y3" s="154"/>
      <c r="Z3" s="154" t="s">
        <v>23</v>
      </c>
      <c r="AA3" s="154"/>
    </row>
    <row r="4" spans="1:38" ht="30" customHeight="1">
      <c r="A4" s="1"/>
      <c r="B4" s="11" t="s">
        <v>433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140" t="s">
        <v>429</v>
      </c>
      <c r="B5" s="7">
        <f>0.2+0.2+1.95+0.2+0.2+1.45</f>
        <v>4.2</v>
      </c>
      <c r="C5" s="4">
        <f t="shared" ref="C5:C8" si="0">(B5*$A$3)-((D5*E5)+(F5*G5)+(H5*I5)+(J5*K5)+(L5*M5)+(N5*O5)+(P5*Q5)+(R5*S5)+(T5*U5)+(V5*W5)+(X5*Y5)+(Z5*AA5))</f>
        <v>15.75</v>
      </c>
      <c r="D5" s="63"/>
      <c r="E5" s="64"/>
      <c r="F5" s="63"/>
      <c r="G5" s="64"/>
      <c r="H5" s="63"/>
      <c r="I5" s="64"/>
      <c r="J5" s="63"/>
      <c r="K5" s="64"/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E5" s="1"/>
      <c r="AF5" s="1"/>
      <c r="AI5" s="1"/>
      <c r="AJ5" s="1"/>
    </row>
    <row r="6" spans="1:38">
      <c r="A6" s="140" t="s">
        <v>430</v>
      </c>
      <c r="B6" s="7">
        <f>0.4+0.4+3.35+0.4+1.55+0.4+0.4+15</f>
        <v>21.900000000000002</v>
      </c>
      <c r="C6" s="4">
        <f t="shared" si="0"/>
        <v>82.125000000000014</v>
      </c>
      <c r="D6" s="63"/>
      <c r="E6" s="64"/>
      <c r="F6" s="63"/>
      <c r="G6" s="64"/>
      <c r="H6" s="63"/>
      <c r="I6" s="64"/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E6" s="1"/>
      <c r="AF6" s="1"/>
      <c r="AG6" s="1"/>
      <c r="AH6" s="1"/>
      <c r="AI6" s="1"/>
      <c r="AJ6" s="1"/>
      <c r="AK6" s="1"/>
      <c r="AL6" s="1"/>
    </row>
    <row r="7" spans="1:38">
      <c r="A7" s="140" t="s">
        <v>431</v>
      </c>
      <c r="B7" s="141"/>
      <c r="C7" s="4">
        <f t="shared" si="0"/>
        <v>0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E7" s="1"/>
      <c r="AF7" s="1"/>
      <c r="AG7" s="1"/>
      <c r="AH7" s="1"/>
      <c r="AI7" s="1"/>
      <c r="AJ7" s="1"/>
      <c r="AK7" s="1"/>
      <c r="AL7" s="1"/>
    </row>
    <row r="8" spans="1:38">
      <c r="A8" s="140" t="s">
        <v>432</v>
      </c>
      <c r="B8" s="141"/>
      <c r="C8" s="4">
        <f t="shared" si="0"/>
        <v>0</v>
      </c>
      <c r="D8" s="63"/>
      <c r="E8" s="64"/>
      <c r="F8" s="63"/>
      <c r="G8" s="64"/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E8" s="1"/>
      <c r="AF8" s="1"/>
      <c r="AG8" s="1"/>
      <c r="AH8" s="1"/>
      <c r="AI8" s="1"/>
      <c r="AJ8" s="1"/>
      <c r="AK8" s="1"/>
      <c r="AL8" s="1"/>
    </row>
    <row r="11" spans="1:38">
      <c r="A11" s="140" t="s">
        <v>83</v>
      </c>
      <c r="B11" s="155">
        <f>SUM(C5:C8)</f>
        <v>97.875000000000014</v>
      </c>
      <c r="C11" s="156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&amp;A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FF00"/>
  </sheetPr>
  <dimension ref="A1:AL104"/>
  <sheetViews>
    <sheetView zoomScale="85" zoomScaleNormal="85" zoomScaleSheetLayoutView="85" workbookViewId="0">
      <pane ySplit="4" topLeftCell="A5" activePane="bottomLeft" state="frozenSplit"/>
      <selection pane="bottomLeft" activeCell="A104" sqref="A104:XFD104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1" t="s">
        <v>299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3"/>
    </row>
    <row r="2" spans="1:38" s="86" customFormat="1">
      <c r="A2" s="85" t="s">
        <v>21</v>
      </c>
      <c r="D2" s="148" t="s">
        <v>6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</row>
    <row r="3" spans="1:38" s="86" customFormat="1">
      <c r="A3" s="90">
        <f>Memória!A2</f>
        <v>3.4</v>
      </c>
      <c r="D3" s="149" t="s">
        <v>9</v>
      </c>
      <c r="E3" s="150"/>
      <c r="F3" s="149" t="s">
        <v>12</v>
      </c>
      <c r="G3" s="150"/>
      <c r="H3" s="149" t="s">
        <v>13</v>
      </c>
      <c r="I3" s="150"/>
      <c r="J3" s="149" t="s">
        <v>14</v>
      </c>
      <c r="K3" s="150"/>
      <c r="L3" s="149" t="s">
        <v>15</v>
      </c>
      <c r="M3" s="150"/>
      <c r="N3" s="149" t="s">
        <v>16</v>
      </c>
      <c r="O3" s="150"/>
      <c r="P3" s="149" t="s">
        <v>17</v>
      </c>
      <c r="Q3" s="150"/>
      <c r="R3" s="148" t="s">
        <v>18</v>
      </c>
      <c r="S3" s="148"/>
      <c r="T3" s="148" t="s">
        <v>19</v>
      </c>
      <c r="U3" s="148"/>
      <c r="V3" s="148" t="s">
        <v>20</v>
      </c>
      <c r="W3" s="148"/>
      <c r="X3" s="148" t="s">
        <v>22</v>
      </c>
      <c r="Y3" s="148"/>
      <c r="Z3" s="148" t="s">
        <v>23</v>
      </c>
      <c r="AA3" s="148"/>
    </row>
    <row r="4" spans="1:38" s="82" customFormat="1" ht="30" customHeight="1">
      <c r="A4" s="83"/>
      <c r="B4" s="91" t="s">
        <v>26</v>
      </c>
      <c r="C4" s="89" t="s">
        <v>3</v>
      </c>
      <c r="D4" s="62" t="s">
        <v>10</v>
      </c>
      <c r="E4" s="62" t="s">
        <v>11</v>
      </c>
      <c r="F4" s="62" t="s">
        <v>10</v>
      </c>
      <c r="G4" s="62" t="s">
        <v>11</v>
      </c>
      <c r="H4" s="62" t="s">
        <v>10</v>
      </c>
      <c r="I4" s="62" t="s">
        <v>11</v>
      </c>
      <c r="J4" s="62" t="s">
        <v>10</v>
      </c>
      <c r="K4" s="62" t="s">
        <v>11</v>
      </c>
      <c r="L4" s="62" t="s">
        <v>10</v>
      </c>
      <c r="M4" s="62" t="s">
        <v>11</v>
      </c>
      <c r="N4" s="62" t="s">
        <v>10</v>
      </c>
      <c r="O4" s="62" t="s">
        <v>11</v>
      </c>
      <c r="P4" s="62" t="s">
        <v>10</v>
      </c>
      <c r="Q4" s="62" t="s">
        <v>11</v>
      </c>
      <c r="R4" s="62" t="s">
        <v>10</v>
      </c>
      <c r="S4" s="62" t="s">
        <v>11</v>
      </c>
      <c r="T4" s="62" t="s">
        <v>10</v>
      </c>
      <c r="U4" s="62" t="s">
        <v>11</v>
      </c>
      <c r="V4" s="62" t="s">
        <v>10</v>
      </c>
      <c r="W4" s="62" t="s">
        <v>11</v>
      </c>
      <c r="X4" s="62" t="s">
        <v>10</v>
      </c>
      <c r="Y4" s="62" t="s">
        <v>11</v>
      </c>
      <c r="Z4" s="62" t="s">
        <v>10</v>
      </c>
      <c r="AA4" s="62" t="s">
        <v>11</v>
      </c>
      <c r="AE4" s="83"/>
      <c r="AF4" s="83"/>
      <c r="AG4" s="83"/>
      <c r="AH4" s="83"/>
      <c r="AI4" s="83"/>
      <c r="AJ4" s="83"/>
      <c r="AK4" s="83"/>
      <c r="AL4" s="83"/>
    </row>
    <row r="5" spans="1:38" s="82" customFormat="1">
      <c r="A5" s="57" t="s">
        <v>27</v>
      </c>
      <c r="B5" s="7">
        <v>16.350000000000001</v>
      </c>
      <c r="C5" s="81">
        <f t="shared" ref="C5:C70" si="0">(B5*$A$3)-((D5*E5)+(F5*G5)+(H5*I5)+(J5*K5)+(L5*M5)+(N5*O5)+(P5*Q5)+(R5*S5)+(T5*U5)+(V5*W5)+(X5*Y5)+(Z5*AA5))</f>
        <v>47.59</v>
      </c>
      <c r="D5" s="78">
        <v>2</v>
      </c>
      <c r="E5" s="79">
        <v>1</v>
      </c>
      <c r="F5" s="78">
        <v>2</v>
      </c>
      <c r="G5" s="79">
        <v>1</v>
      </c>
      <c r="H5" s="78">
        <v>2</v>
      </c>
      <c r="I5" s="79">
        <v>1</v>
      </c>
      <c r="J5" s="78">
        <v>2</v>
      </c>
      <c r="K5" s="79">
        <v>1</v>
      </c>
      <c r="L5" s="63"/>
      <c r="M5" s="64"/>
      <c r="N5" s="63"/>
      <c r="O5" s="64"/>
      <c r="P5" s="63"/>
      <c r="Q5" s="64"/>
      <c r="R5" s="63"/>
      <c r="S5" s="64"/>
      <c r="T5" s="63"/>
      <c r="U5" s="64"/>
      <c r="V5" s="63"/>
      <c r="W5" s="64"/>
      <c r="X5" s="63"/>
      <c r="Y5" s="64"/>
      <c r="Z5" s="63"/>
      <c r="AA5" s="64"/>
      <c r="AE5" s="83"/>
      <c r="AF5" s="83"/>
      <c r="AG5" s="83"/>
      <c r="AH5" s="83"/>
      <c r="AI5" s="83"/>
      <c r="AJ5" s="83"/>
      <c r="AK5" s="83"/>
      <c r="AL5" s="83"/>
    </row>
    <row r="6" spans="1:38" s="82" customFormat="1">
      <c r="A6" s="57" t="s">
        <v>28</v>
      </c>
      <c r="B6" s="7">
        <v>23.25</v>
      </c>
      <c r="C6" s="81">
        <f t="shared" si="0"/>
        <v>64.899999999999991</v>
      </c>
      <c r="D6" s="78">
        <v>1</v>
      </c>
      <c r="E6" s="79">
        <v>0.8</v>
      </c>
      <c r="F6" s="78">
        <v>2.75</v>
      </c>
      <c r="G6" s="79">
        <v>1</v>
      </c>
      <c r="H6" s="78">
        <v>1</v>
      </c>
      <c r="I6" s="79">
        <v>0.8</v>
      </c>
      <c r="J6" s="78">
        <v>3</v>
      </c>
      <c r="K6" s="79">
        <v>1</v>
      </c>
      <c r="L6" s="78">
        <v>1</v>
      </c>
      <c r="M6" s="79">
        <v>0.8</v>
      </c>
      <c r="N6" s="78">
        <v>3</v>
      </c>
      <c r="O6" s="79">
        <v>1</v>
      </c>
      <c r="P6" s="78">
        <v>3</v>
      </c>
      <c r="Q6" s="79">
        <v>1</v>
      </c>
      <c r="R6" s="63"/>
      <c r="S6" s="64"/>
      <c r="T6" s="63"/>
      <c r="U6" s="64"/>
      <c r="V6" s="63"/>
      <c r="W6" s="64"/>
      <c r="X6" s="63"/>
      <c r="Y6" s="64"/>
      <c r="Z6" s="63"/>
      <c r="AA6" s="64"/>
      <c r="AE6" s="83"/>
      <c r="AF6" s="83"/>
      <c r="AI6" s="83"/>
      <c r="AJ6" s="83"/>
    </row>
    <row r="7" spans="1:38" s="82" customFormat="1">
      <c r="A7" s="57" t="s">
        <v>29</v>
      </c>
      <c r="B7" s="7">
        <v>2.5</v>
      </c>
      <c r="C7" s="81">
        <f>(B7*$A$3)-((D7*E7)+(F7*G7)+(H7*I7)+(J7*K7)+(L7*M7)+(N7*O7)+(P7*Q7)+(R7*S7)+(T7*U7)+(V7*W7)+(X7*Y7)+(Z7*AA7))</f>
        <v>8.5</v>
      </c>
      <c r="D7" s="63"/>
      <c r="E7" s="64"/>
      <c r="F7" s="63"/>
      <c r="G7" s="64"/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</row>
    <row r="8" spans="1:38" s="82" customFormat="1">
      <c r="A8" s="57" t="s">
        <v>30</v>
      </c>
      <c r="B8" s="7">
        <v>2.5</v>
      </c>
      <c r="C8" s="81">
        <f>(B8*$A$3)-((D8*E8)+(F8*G8)+(H8*I8)+(J8*K8)+(L8*M8)+(N8*O8)+(P8*Q8)+(R8*S8)+(T8*U8)+(V8*W8)+(X8*Y8)+(Z8*AA8))</f>
        <v>8.5</v>
      </c>
      <c r="D8" s="63"/>
      <c r="E8" s="64"/>
      <c r="F8" s="63"/>
      <c r="G8" s="64"/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</row>
    <row r="9" spans="1:38" s="82" customFormat="1">
      <c r="A9" s="57" t="s">
        <v>31</v>
      </c>
      <c r="B9" s="7">
        <v>1.95</v>
      </c>
      <c r="C9" s="81">
        <f>(B9*$A$3)-((D9*E9)+(F9*G9)+(H9*I9)+(J9*K9)+(L9*M9)+(N9*O9)+(P9*Q9)+(R9*S9)+(T9*U9)+(V9*W9)+(X9*Y9)+(Z9*AA9))</f>
        <v>6.63</v>
      </c>
      <c r="D9" s="63"/>
      <c r="E9" s="64"/>
      <c r="F9" s="63"/>
      <c r="G9" s="64"/>
      <c r="H9" s="63"/>
      <c r="I9" s="64"/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</row>
    <row r="10" spans="1:38" s="82" customFormat="1">
      <c r="A10" s="57" t="s">
        <v>32</v>
      </c>
      <c r="B10" s="7">
        <v>20.93</v>
      </c>
      <c r="C10" s="81">
        <f t="shared" si="0"/>
        <v>63.981999999999992</v>
      </c>
      <c r="D10" s="78">
        <v>2.75</v>
      </c>
      <c r="E10" s="79">
        <v>1</v>
      </c>
      <c r="F10" s="78">
        <v>2.75</v>
      </c>
      <c r="G10" s="79">
        <v>1</v>
      </c>
      <c r="H10" s="63"/>
      <c r="I10" s="64"/>
      <c r="J10" s="63"/>
      <c r="K10" s="64"/>
      <c r="L10" s="78">
        <v>0.8</v>
      </c>
      <c r="M10" s="79">
        <v>2.1</v>
      </c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E10" s="83"/>
      <c r="AF10" s="83"/>
      <c r="AG10" s="83"/>
      <c r="AH10" s="83"/>
      <c r="AI10" s="83"/>
      <c r="AJ10" s="83"/>
      <c r="AK10" s="83"/>
      <c r="AL10" s="83"/>
    </row>
    <row r="11" spans="1:38" s="82" customFormat="1">
      <c r="A11" s="57" t="s">
        <v>33</v>
      </c>
      <c r="B11" s="7">
        <v>2.17</v>
      </c>
      <c r="C11" s="81">
        <f>(B11*$A$3)-((D11*E11)+(F11*G11)+(H11*I11)+(J11*K11)+(L11*M11)+(N11*O11)+(P11*Q11)+(R11*S11)+(T11*U11)+(V11*W11)+(X11*Y11)+(Z11*AA11))</f>
        <v>5.1729999999999992</v>
      </c>
      <c r="D11" s="63"/>
      <c r="E11" s="64"/>
      <c r="F11" s="63"/>
      <c r="G11" s="64"/>
      <c r="H11" s="63"/>
      <c r="I11" s="64"/>
      <c r="J11" s="63"/>
      <c r="K11" s="64"/>
      <c r="L11" s="63"/>
      <c r="M11" s="64"/>
      <c r="N11" s="63"/>
      <c r="O11" s="64"/>
      <c r="P11" s="63"/>
      <c r="Q11" s="64"/>
      <c r="R11" s="63"/>
      <c r="S11" s="64"/>
      <c r="T11" s="63"/>
      <c r="U11" s="64"/>
      <c r="V11" s="63"/>
      <c r="W11" s="64"/>
      <c r="X11" s="63"/>
      <c r="Y11" s="64"/>
      <c r="Z11" s="78">
        <v>1.05</v>
      </c>
      <c r="AA11" s="79">
        <v>2.1</v>
      </c>
    </row>
    <row r="12" spans="1:38" s="82" customFormat="1">
      <c r="A12" s="57" t="s">
        <v>34</v>
      </c>
      <c r="B12" s="7">
        <v>1.95</v>
      </c>
      <c r="C12" s="81">
        <f>(B12*$A$3)-((D12*E12)+(F12*G12)+(H12*I12)+(J12*K12)+(L12*M12)+(N12*O12)+(P12*Q12)+(R12*S12)+(T12*U12)+(V12*W12)+(X12*Y12)+(Z12*AA12))</f>
        <v>6.63</v>
      </c>
      <c r="D12" s="63"/>
      <c r="E12" s="64"/>
      <c r="F12" s="63"/>
      <c r="G12" s="64"/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</row>
    <row r="13" spans="1:38" s="82" customFormat="1">
      <c r="A13" s="57" t="s">
        <v>35</v>
      </c>
      <c r="B13" s="7">
        <v>5.4</v>
      </c>
      <c r="C13" s="81">
        <f>(B13*$A$3)-((D13*E13)+(F13*G13)+(H13*I13)+(J13*K13)+(L13*M13)+(N13*O13)+(P13*Q13)+(R13*S13)+(T13*U13)+(V13*W13)+(X13*Y13)+(Z13*AA13))</f>
        <v>16.68</v>
      </c>
      <c r="D13" s="63"/>
      <c r="E13" s="64"/>
      <c r="F13" s="63"/>
      <c r="G13" s="64"/>
      <c r="H13" s="63"/>
      <c r="I13" s="64"/>
      <c r="J13" s="63"/>
      <c r="K13" s="64"/>
      <c r="L13" s="78">
        <v>0.8</v>
      </c>
      <c r="M13" s="79">
        <v>2.1</v>
      </c>
      <c r="N13" s="63"/>
      <c r="O13" s="64"/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</row>
    <row r="14" spans="1:38" s="82" customFormat="1">
      <c r="A14" s="57" t="s">
        <v>36</v>
      </c>
      <c r="B14" s="7">
        <v>1.9</v>
      </c>
      <c r="C14" s="81">
        <f t="shared" si="0"/>
        <v>3.6669999999999998</v>
      </c>
      <c r="D14" s="63"/>
      <c r="E14" s="64"/>
      <c r="F14" s="63"/>
      <c r="G14" s="64"/>
      <c r="H14" s="63"/>
      <c r="I14" s="64"/>
      <c r="J14" s="63"/>
      <c r="K14" s="64"/>
      <c r="L14" s="78">
        <v>1.33</v>
      </c>
      <c r="M14" s="79">
        <v>2.1</v>
      </c>
      <c r="N14" s="63"/>
      <c r="O14" s="64"/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E14" s="83"/>
      <c r="AF14" s="83"/>
      <c r="AG14" s="83"/>
      <c r="AH14" s="83"/>
      <c r="AI14" s="83"/>
      <c r="AJ14" s="83"/>
      <c r="AK14" s="83"/>
      <c r="AL14" s="83"/>
    </row>
    <row r="15" spans="1:38" s="82" customFormat="1">
      <c r="A15" s="57" t="s">
        <v>37</v>
      </c>
      <c r="B15" s="7">
        <v>2.17</v>
      </c>
      <c r="C15" s="81">
        <f>(B15*$A$3)-((D15*E15)+(F15*G15)+(H15*I15)+(J15*K15)+(L15*M15)+(N15*O15)+(P15*Q15)+(R15*S15)+(T15*U15)+(V15*W15)+(X15*Y15)+(Z15*AA15))</f>
        <v>4.1019999999999985</v>
      </c>
      <c r="D15" s="63"/>
      <c r="E15" s="64"/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78">
        <v>1.56</v>
      </c>
      <c r="AA15" s="79">
        <v>2.1</v>
      </c>
    </row>
    <row r="16" spans="1:38" s="82" customFormat="1">
      <c r="A16" s="57" t="s">
        <v>38</v>
      </c>
      <c r="B16" s="7">
        <v>8.68</v>
      </c>
      <c r="C16" s="81">
        <f t="shared" si="0"/>
        <v>29.511999999999997</v>
      </c>
      <c r="D16" s="63"/>
      <c r="E16" s="64"/>
      <c r="F16" s="63"/>
      <c r="G16" s="64"/>
      <c r="H16" s="63"/>
      <c r="I16" s="64"/>
      <c r="J16" s="63"/>
      <c r="K16" s="64"/>
      <c r="L16" s="63"/>
      <c r="M16" s="64"/>
      <c r="N16" s="63"/>
      <c r="O16" s="64"/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E16" s="83"/>
      <c r="AF16" s="83"/>
      <c r="AG16" s="83"/>
      <c r="AH16" s="83"/>
      <c r="AI16" s="83"/>
      <c r="AJ16" s="83"/>
      <c r="AK16" s="83"/>
      <c r="AL16" s="83"/>
    </row>
    <row r="17" spans="1:38" s="82" customFormat="1">
      <c r="A17" s="57" t="s">
        <v>39</v>
      </c>
      <c r="B17" s="7">
        <v>6.6</v>
      </c>
      <c r="C17" s="81">
        <f t="shared" si="0"/>
        <v>16.349999999999998</v>
      </c>
      <c r="D17" s="63"/>
      <c r="E17" s="64"/>
      <c r="F17" s="63"/>
      <c r="G17" s="64"/>
      <c r="H17" s="63"/>
      <c r="I17" s="64"/>
      <c r="J17" s="63"/>
      <c r="K17" s="64"/>
      <c r="L17" s="78">
        <v>2.1</v>
      </c>
      <c r="M17" s="79">
        <v>2.1</v>
      </c>
      <c r="N17" s="78">
        <v>0.8</v>
      </c>
      <c r="O17" s="79">
        <v>2.1</v>
      </c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E17" s="83"/>
      <c r="AF17" s="83"/>
      <c r="AG17" s="83"/>
      <c r="AH17" s="83"/>
      <c r="AI17" s="83"/>
      <c r="AJ17" s="83"/>
      <c r="AK17" s="83"/>
      <c r="AL17" s="83"/>
    </row>
    <row r="18" spans="1:38" s="82" customFormat="1">
      <c r="A18" s="57" t="s">
        <v>40</v>
      </c>
      <c r="B18" s="7">
        <v>1.895</v>
      </c>
      <c r="C18" s="81">
        <f t="shared" ref="C18:C29" si="1">(B18*$A$3)-((D18*E18)+(F18*G18)+(H18*I18)+(J18*K18)+(L18*M18)+(N18*O18)+(P18*Q18)+(R18*S18)+(T18*U18)+(V18*W18)+(X18*Y18)+(Z18*AA18))</f>
        <v>6.4429999999999996</v>
      </c>
      <c r="D18" s="63"/>
      <c r="E18" s="64"/>
      <c r="F18" s="63"/>
      <c r="G18" s="64"/>
      <c r="H18" s="63"/>
      <c r="I18" s="64"/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</row>
    <row r="19" spans="1:38" s="82" customFormat="1">
      <c r="A19" s="57" t="s">
        <v>41</v>
      </c>
      <c r="B19" s="7">
        <v>7.2</v>
      </c>
      <c r="C19" s="81">
        <f t="shared" si="1"/>
        <v>22.59</v>
      </c>
      <c r="D19" s="63"/>
      <c r="E19" s="64"/>
      <c r="F19" s="63"/>
      <c r="G19" s="64"/>
      <c r="H19" s="63"/>
      <c r="I19" s="64"/>
      <c r="J19" s="63"/>
      <c r="K19" s="64"/>
      <c r="L19" s="78">
        <v>0.9</v>
      </c>
      <c r="M19" s="79">
        <v>2.1</v>
      </c>
      <c r="N19" s="63"/>
      <c r="O19" s="64"/>
      <c r="P19" s="63"/>
      <c r="Q19" s="64"/>
      <c r="R19" s="63"/>
      <c r="S19" s="64"/>
      <c r="T19" s="63"/>
      <c r="U19" s="64"/>
      <c r="V19" s="63"/>
      <c r="W19" s="64"/>
      <c r="X19" s="63"/>
      <c r="Y19" s="64"/>
      <c r="Z19" s="63"/>
      <c r="AA19" s="64"/>
    </row>
    <row r="20" spans="1:38" s="82" customFormat="1">
      <c r="A20" s="57" t="s">
        <v>42</v>
      </c>
      <c r="B20" s="7">
        <v>8.8000000000000007</v>
      </c>
      <c r="C20" s="81">
        <f t="shared" si="1"/>
        <v>20.68</v>
      </c>
      <c r="D20" s="63"/>
      <c r="E20" s="64"/>
      <c r="F20" s="63"/>
      <c r="G20" s="64"/>
      <c r="H20" s="63"/>
      <c r="I20" s="64"/>
      <c r="J20" s="63"/>
      <c r="K20" s="64"/>
      <c r="L20" s="63"/>
      <c r="M20" s="64"/>
      <c r="N20" s="63"/>
      <c r="O20" s="64"/>
      <c r="P20" s="63"/>
      <c r="Q20" s="64"/>
      <c r="R20" s="63"/>
      <c r="S20" s="64"/>
      <c r="T20" s="63"/>
      <c r="U20" s="64"/>
      <c r="V20" s="63"/>
      <c r="W20" s="64"/>
      <c r="X20" s="78">
        <v>2.2000000000000002</v>
      </c>
      <c r="Y20" s="79">
        <v>2.1</v>
      </c>
      <c r="Z20" s="78">
        <v>2.2000000000000002</v>
      </c>
      <c r="AA20" s="79">
        <v>2.1</v>
      </c>
    </row>
    <row r="21" spans="1:38" s="82" customFormat="1">
      <c r="A21" s="57" t="s">
        <v>43</v>
      </c>
      <c r="B21" s="7">
        <v>11.15</v>
      </c>
      <c r="C21" s="81">
        <f t="shared" si="1"/>
        <v>34.550000000000004</v>
      </c>
      <c r="D21" s="63"/>
      <c r="E21" s="64"/>
      <c r="F21" s="63"/>
      <c r="G21" s="64"/>
      <c r="H21" s="63"/>
      <c r="I21" s="64"/>
      <c r="J21" s="63"/>
      <c r="K21" s="64"/>
      <c r="L21" s="78">
        <v>0.8</v>
      </c>
      <c r="M21" s="79">
        <v>2.1</v>
      </c>
      <c r="N21" s="78">
        <v>0.8</v>
      </c>
      <c r="O21" s="79">
        <v>2.1</v>
      </c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</row>
    <row r="22" spans="1:38" s="82" customFormat="1">
      <c r="A22" s="57" t="s">
        <v>44</v>
      </c>
      <c r="B22" s="7">
        <v>17.8</v>
      </c>
      <c r="C22" s="81">
        <f t="shared" si="1"/>
        <v>49.650000000000006</v>
      </c>
      <c r="D22" s="63"/>
      <c r="E22" s="64"/>
      <c r="F22" s="63"/>
      <c r="G22" s="64"/>
      <c r="H22" s="63"/>
      <c r="I22" s="64"/>
      <c r="J22" s="63"/>
      <c r="K22" s="64"/>
      <c r="L22" s="78">
        <v>2.1</v>
      </c>
      <c r="M22" s="79">
        <v>2.1</v>
      </c>
      <c r="N22" s="63"/>
      <c r="O22" s="64"/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78">
        <v>1.9</v>
      </c>
      <c r="AA22" s="79">
        <v>3.4</v>
      </c>
    </row>
    <row r="23" spans="1:38" s="82" customFormat="1">
      <c r="A23" s="57" t="s">
        <v>45</v>
      </c>
      <c r="B23" s="7">
        <v>19.95</v>
      </c>
      <c r="C23" s="81">
        <f t="shared" si="1"/>
        <v>54.739999999999995</v>
      </c>
      <c r="D23" s="63"/>
      <c r="E23" s="64"/>
      <c r="F23" s="63"/>
      <c r="G23" s="64"/>
      <c r="H23" s="63"/>
      <c r="I23" s="64"/>
      <c r="J23" s="63"/>
      <c r="K23" s="64"/>
      <c r="L23" s="78">
        <v>1.1000000000000001</v>
      </c>
      <c r="M23" s="79">
        <v>2.1</v>
      </c>
      <c r="N23" s="78">
        <v>1.1000000000000001</v>
      </c>
      <c r="O23" s="79">
        <v>2.1</v>
      </c>
      <c r="P23" s="78">
        <v>2.1</v>
      </c>
      <c r="Q23" s="79">
        <v>2.1</v>
      </c>
      <c r="R23" s="78">
        <v>1.1000000000000001</v>
      </c>
      <c r="S23" s="79">
        <v>2.1</v>
      </c>
      <c r="T23" s="63"/>
      <c r="U23" s="64"/>
      <c r="V23" s="63"/>
      <c r="W23" s="64"/>
      <c r="X23" s="78">
        <v>1.75</v>
      </c>
      <c r="Y23" s="79">
        <v>1</v>
      </c>
      <c r="Z23" s="63"/>
      <c r="AA23" s="64"/>
    </row>
    <row r="24" spans="1:38" s="82" customFormat="1">
      <c r="A24" s="57" t="s">
        <v>46</v>
      </c>
      <c r="B24" s="7">
        <v>24.4</v>
      </c>
      <c r="C24" s="81">
        <f t="shared" si="1"/>
        <v>78.55</v>
      </c>
      <c r="D24" s="63"/>
      <c r="E24" s="64"/>
      <c r="F24" s="63"/>
      <c r="G24" s="64"/>
      <c r="H24" s="63"/>
      <c r="I24" s="64"/>
      <c r="J24" s="63"/>
      <c r="K24" s="64"/>
      <c r="L24" s="78">
        <v>2.1</v>
      </c>
      <c r="M24" s="79">
        <v>2.1</v>
      </c>
      <c r="N24" s="63"/>
      <c r="O24" s="64"/>
      <c r="P24" s="63"/>
      <c r="Q24" s="64"/>
      <c r="R24" s="63"/>
      <c r="S24" s="64"/>
      <c r="T24" s="63"/>
      <c r="U24" s="64"/>
      <c r="V24" s="63"/>
      <c r="W24" s="64"/>
      <c r="X24" s="63"/>
      <c r="Y24" s="64"/>
      <c r="Z24" s="63"/>
      <c r="AA24" s="64"/>
    </row>
    <row r="25" spans="1:38" s="82" customFormat="1">
      <c r="A25" s="57" t="s">
        <v>47</v>
      </c>
      <c r="B25" s="7">
        <v>3.75</v>
      </c>
      <c r="C25" s="81">
        <f t="shared" si="1"/>
        <v>12.75</v>
      </c>
      <c r="D25" s="63"/>
      <c r="E25" s="64"/>
      <c r="F25" s="63"/>
      <c r="G25" s="64"/>
      <c r="H25" s="63"/>
      <c r="I25" s="64"/>
      <c r="J25" s="63"/>
      <c r="K25" s="64"/>
      <c r="L25" s="63"/>
      <c r="M25" s="64"/>
      <c r="N25" s="63"/>
      <c r="O25" s="64"/>
      <c r="P25" s="63"/>
      <c r="Q25" s="64"/>
      <c r="R25" s="63"/>
      <c r="S25" s="64"/>
      <c r="T25" s="63"/>
      <c r="U25" s="64"/>
      <c r="V25" s="63"/>
      <c r="W25" s="64"/>
      <c r="X25" s="63"/>
      <c r="Y25" s="64"/>
      <c r="Z25" s="63"/>
      <c r="AA25" s="64"/>
    </row>
    <row r="26" spans="1:38" s="82" customFormat="1">
      <c r="A26" s="57" t="s">
        <v>48</v>
      </c>
      <c r="B26" s="7">
        <v>4.55</v>
      </c>
      <c r="C26" s="81">
        <f t="shared" si="1"/>
        <v>15.469999999999999</v>
      </c>
      <c r="D26" s="63"/>
      <c r="E26" s="64"/>
      <c r="F26" s="63"/>
      <c r="G26" s="64"/>
      <c r="H26" s="63"/>
      <c r="I26" s="64"/>
      <c r="J26" s="63"/>
      <c r="K26" s="64"/>
      <c r="L26" s="63"/>
      <c r="M26" s="64"/>
      <c r="N26" s="63"/>
      <c r="O26" s="64"/>
      <c r="P26" s="63"/>
      <c r="Q26" s="64"/>
      <c r="R26" s="63"/>
      <c r="S26" s="64"/>
      <c r="T26" s="63"/>
      <c r="U26" s="64"/>
      <c r="V26" s="63"/>
      <c r="W26" s="64"/>
      <c r="X26" s="63"/>
      <c r="Y26" s="64"/>
      <c r="Z26" s="63"/>
      <c r="AA26" s="64"/>
    </row>
    <row r="27" spans="1:38" s="82" customFormat="1">
      <c r="A27" s="57" t="s">
        <v>49</v>
      </c>
      <c r="B27" s="7">
        <v>10.4</v>
      </c>
      <c r="C27" s="81">
        <f t="shared" si="1"/>
        <v>35.36</v>
      </c>
      <c r="D27" s="63"/>
      <c r="E27" s="64"/>
      <c r="F27" s="63"/>
      <c r="G27" s="64"/>
      <c r="H27" s="63"/>
      <c r="I27" s="64"/>
      <c r="J27" s="63"/>
      <c r="K27" s="64"/>
      <c r="L27" s="63"/>
      <c r="M27" s="64"/>
      <c r="N27" s="63"/>
      <c r="O27" s="64"/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63"/>
      <c r="AA27" s="64"/>
    </row>
    <row r="28" spans="1:38" s="82" customFormat="1">
      <c r="A28" s="57" t="s">
        <v>50</v>
      </c>
      <c r="B28" s="7">
        <v>2.8</v>
      </c>
      <c r="C28" s="81">
        <f t="shared" si="1"/>
        <v>9.52</v>
      </c>
      <c r="D28" s="63"/>
      <c r="E28" s="64"/>
      <c r="F28" s="63"/>
      <c r="G28" s="64"/>
      <c r="H28" s="63"/>
      <c r="I28" s="64"/>
      <c r="J28" s="63"/>
      <c r="K28" s="64"/>
      <c r="L28" s="63"/>
      <c r="M28" s="64"/>
      <c r="N28" s="63"/>
      <c r="O28" s="64"/>
      <c r="P28" s="63"/>
      <c r="Q28" s="64"/>
      <c r="R28" s="63"/>
      <c r="S28" s="64"/>
      <c r="T28" s="63"/>
      <c r="U28" s="64"/>
      <c r="V28" s="63"/>
      <c r="W28" s="64"/>
      <c r="X28" s="63"/>
      <c r="Y28" s="64"/>
      <c r="Z28" s="63"/>
      <c r="AA28" s="64"/>
    </row>
    <row r="29" spans="1:38" s="82" customFormat="1">
      <c r="A29" s="57" t="s">
        <v>51</v>
      </c>
      <c r="B29" s="7">
        <v>6.2</v>
      </c>
      <c r="C29" s="81">
        <f t="shared" si="1"/>
        <v>17.299999999999997</v>
      </c>
      <c r="D29" s="63"/>
      <c r="E29" s="64"/>
      <c r="F29" s="63"/>
      <c r="G29" s="64"/>
      <c r="H29" s="63"/>
      <c r="I29" s="64"/>
      <c r="J29" s="63"/>
      <c r="K29" s="64"/>
      <c r="L29" s="78">
        <v>0.9</v>
      </c>
      <c r="M29" s="79">
        <v>2.1</v>
      </c>
      <c r="N29" s="78">
        <v>0.9</v>
      </c>
      <c r="O29" s="79">
        <v>2.1</v>
      </c>
      <c r="P29" s="63"/>
      <c r="Q29" s="64"/>
      <c r="R29" s="63"/>
      <c r="S29" s="64"/>
      <c r="T29" s="63"/>
      <c r="U29" s="64"/>
      <c r="V29" s="63"/>
      <c r="W29" s="64"/>
      <c r="X29" s="63"/>
      <c r="Y29" s="64"/>
      <c r="Z29" s="63"/>
      <c r="AA29" s="64"/>
    </row>
    <row r="30" spans="1:38" s="82" customFormat="1">
      <c r="A30" s="57" t="s">
        <v>52</v>
      </c>
      <c r="B30" s="7">
        <v>14.5</v>
      </c>
      <c r="C30" s="81">
        <f t="shared" si="0"/>
        <v>35.4</v>
      </c>
      <c r="D30" s="78">
        <v>13.9</v>
      </c>
      <c r="E30" s="79">
        <v>1</v>
      </c>
      <c r="F30" s="63"/>
      <c r="G30" s="64"/>
      <c r="H30" s="63"/>
      <c r="I30" s="64"/>
      <c r="J30" s="63"/>
      <c r="K30" s="64"/>
      <c r="L30" s="63"/>
      <c r="M30" s="64"/>
      <c r="N30" s="63"/>
      <c r="O30" s="64"/>
      <c r="P30" s="63"/>
      <c r="Q30" s="64"/>
      <c r="R30" s="63"/>
      <c r="S30" s="64"/>
      <c r="T30" s="63"/>
      <c r="U30" s="64"/>
      <c r="V30" s="63"/>
      <c r="W30" s="64"/>
      <c r="X30" s="63"/>
      <c r="Y30" s="64"/>
      <c r="Z30" s="63"/>
      <c r="AA30" s="64"/>
      <c r="AE30" s="83"/>
      <c r="AF30" s="83"/>
      <c r="AG30" s="83"/>
      <c r="AH30" s="83"/>
      <c r="AI30" s="83"/>
      <c r="AJ30" s="83"/>
      <c r="AK30" s="83"/>
      <c r="AL30" s="83"/>
    </row>
    <row r="31" spans="1:38" s="82" customFormat="1">
      <c r="A31" s="57" t="s">
        <v>53</v>
      </c>
      <c r="B31" s="7">
        <v>6.9</v>
      </c>
      <c r="C31" s="81">
        <f>(B31*$A$3)-((D31*E31)+(F31*G31)+(H31*I31)+(J31*K31)+(L31*M31)+(N31*O31)+(P31*Q31)+(R31*S31)+(T31*U31)+(V31*W31)+(X31*Y31)+(Z31*AA31))</f>
        <v>19.05</v>
      </c>
      <c r="D31" s="63"/>
      <c r="E31" s="64"/>
      <c r="F31" s="63"/>
      <c r="G31" s="64"/>
      <c r="H31" s="63"/>
      <c r="I31" s="64"/>
      <c r="J31" s="63"/>
      <c r="K31" s="64"/>
      <c r="L31" s="78">
        <v>2.1</v>
      </c>
      <c r="M31" s="79">
        <v>2.1</v>
      </c>
      <c r="N31" s="63"/>
      <c r="O31" s="64"/>
      <c r="P31" s="63"/>
      <c r="Q31" s="64"/>
      <c r="R31" s="63"/>
      <c r="S31" s="64"/>
      <c r="T31" s="63"/>
      <c r="U31" s="64"/>
      <c r="V31" s="63"/>
      <c r="W31" s="64"/>
      <c r="X31" s="63"/>
      <c r="Y31" s="64"/>
      <c r="Z31" s="63"/>
      <c r="AA31" s="64"/>
    </row>
    <row r="32" spans="1:38" s="82" customFormat="1">
      <c r="A32" s="57" t="s">
        <v>54</v>
      </c>
      <c r="B32" s="7">
        <v>1.65</v>
      </c>
      <c r="C32" s="81">
        <f t="shared" si="0"/>
        <v>5.6099999999999994</v>
      </c>
      <c r="D32" s="63"/>
      <c r="E32" s="64"/>
      <c r="F32" s="63"/>
      <c r="G32" s="64"/>
      <c r="H32" s="63"/>
      <c r="I32" s="64"/>
      <c r="J32" s="63"/>
      <c r="K32" s="64"/>
      <c r="L32" s="63"/>
      <c r="M32" s="64"/>
      <c r="N32" s="63"/>
      <c r="O32" s="64"/>
      <c r="P32" s="63"/>
      <c r="Q32" s="64"/>
      <c r="R32" s="63"/>
      <c r="S32" s="64"/>
      <c r="T32" s="63"/>
      <c r="U32" s="64"/>
      <c r="V32" s="63"/>
      <c r="W32" s="64"/>
      <c r="X32" s="63"/>
      <c r="Y32" s="64"/>
      <c r="Z32" s="63"/>
      <c r="AA32" s="64"/>
      <c r="AE32" s="83"/>
      <c r="AF32" s="83"/>
      <c r="AG32" s="83"/>
      <c r="AH32" s="83"/>
      <c r="AI32" s="83"/>
      <c r="AJ32" s="83"/>
      <c r="AK32" s="83"/>
      <c r="AL32" s="83"/>
    </row>
    <row r="33" spans="1:38" s="82" customFormat="1">
      <c r="A33" s="57" t="s">
        <v>55</v>
      </c>
      <c r="B33" s="7">
        <v>4.1500000000000004</v>
      </c>
      <c r="C33" s="81">
        <f t="shared" si="0"/>
        <v>9.9600000000000009</v>
      </c>
      <c r="D33" s="78">
        <v>4.1500000000000004</v>
      </c>
      <c r="E33" s="79">
        <v>1</v>
      </c>
      <c r="F33" s="63"/>
      <c r="G33" s="64"/>
      <c r="H33" s="63"/>
      <c r="I33" s="64"/>
      <c r="J33" s="63"/>
      <c r="K33" s="64"/>
      <c r="L33" s="63"/>
      <c r="M33" s="64"/>
      <c r="N33" s="63"/>
      <c r="O33" s="64"/>
      <c r="P33" s="63"/>
      <c r="Q33" s="64"/>
      <c r="R33" s="63"/>
      <c r="S33" s="64"/>
      <c r="T33" s="63"/>
      <c r="U33" s="64"/>
      <c r="V33" s="63"/>
      <c r="W33" s="64"/>
      <c r="X33" s="63"/>
      <c r="Y33" s="64"/>
      <c r="Z33" s="63"/>
      <c r="AA33" s="64"/>
      <c r="AE33" s="83"/>
      <c r="AF33" s="83"/>
      <c r="AG33" s="83"/>
      <c r="AH33" s="83"/>
      <c r="AI33" s="83"/>
      <c r="AJ33" s="83"/>
      <c r="AK33" s="83"/>
      <c r="AL33" s="83"/>
    </row>
    <row r="34" spans="1:38" s="82" customFormat="1">
      <c r="A34" s="57" t="s">
        <v>131</v>
      </c>
      <c r="B34" s="7">
        <v>12.4</v>
      </c>
      <c r="C34" s="81">
        <f t="shared" si="0"/>
        <v>31.709999999999997</v>
      </c>
      <c r="D34" s="78">
        <v>7.1</v>
      </c>
      <c r="E34" s="79">
        <v>1</v>
      </c>
      <c r="F34" s="78">
        <v>3.35</v>
      </c>
      <c r="G34" s="79">
        <v>1</v>
      </c>
      <c r="H34" s="63"/>
      <c r="I34" s="64"/>
      <c r="J34" s="63"/>
      <c r="K34" s="64"/>
      <c r="L34" s="63"/>
      <c r="M34" s="64"/>
      <c r="N34" s="63"/>
      <c r="O34" s="64"/>
      <c r="P34" s="63"/>
      <c r="Q34" s="64"/>
      <c r="R34" s="63"/>
      <c r="S34" s="64"/>
      <c r="T34" s="63"/>
      <c r="U34" s="64"/>
      <c r="V34" s="63"/>
      <c r="W34" s="64"/>
      <c r="X34" s="63"/>
      <c r="Y34" s="64"/>
      <c r="Z34" s="63"/>
      <c r="AA34" s="64"/>
      <c r="AE34" s="83"/>
      <c r="AF34" s="83"/>
      <c r="AG34" s="83"/>
      <c r="AH34" s="83"/>
      <c r="AI34" s="83"/>
      <c r="AJ34" s="83"/>
      <c r="AK34" s="83"/>
      <c r="AL34" s="83"/>
    </row>
    <row r="35" spans="1:38" s="82" customFormat="1" ht="15.75" thickBot="1">
      <c r="A35" s="57" t="s">
        <v>132</v>
      </c>
      <c r="B35" s="7">
        <v>11.55</v>
      </c>
      <c r="C35" s="81">
        <f t="shared" si="0"/>
        <v>27.720000000000002</v>
      </c>
      <c r="D35" s="78">
        <v>11.55</v>
      </c>
      <c r="E35" s="79">
        <v>1</v>
      </c>
      <c r="F35" s="63"/>
      <c r="G35" s="64"/>
      <c r="H35" s="63"/>
      <c r="I35" s="64"/>
      <c r="J35" s="63"/>
      <c r="K35" s="64"/>
      <c r="L35" s="63"/>
      <c r="M35" s="64"/>
      <c r="N35" s="63"/>
      <c r="O35" s="64"/>
      <c r="P35" s="63"/>
      <c r="Q35" s="64"/>
      <c r="R35" s="63"/>
      <c r="S35" s="64"/>
      <c r="T35" s="63"/>
      <c r="U35" s="64"/>
      <c r="V35" s="63"/>
      <c r="W35" s="64"/>
      <c r="X35" s="63"/>
      <c r="Y35" s="64"/>
      <c r="Z35" s="63"/>
      <c r="AA35" s="64"/>
      <c r="AE35" s="83"/>
      <c r="AF35" s="83"/>
      <c r="AG35" s="83"/>
      <c r="AH35" s="83"/>
      <c r="AI35" s="83"/>
      <c r="AJ35" s="83"/>
      <c r="AK35" s="83"/>
      <c r="AL35" s="83"/>
    </row>
    <row r="36" spans="1:38" s="82" customFormat="1">
      <c r="A36" s="92" t="s">
        <v>56</v>
      </c>
      <c r="B36" s="93">
        <v>29.57</v>
      </c>
      <c r="C36" s="94">
        <f t="shared" si="0"/>
        <v>94.537999999999997</v>
      </c>
      <c r="D36" s="95">
        <v>2</v>
      </c>
      <c r="E36" s="96">
        <v>1</v>
      </c>
      <c r="F36" s="95">
        <v>2</v>
      </c>
      <c r="G36" s="96">
        <v>1</v>
      </c>
      <c r="H36" s="95">
        <v>2</v>
      </c>
      <c r="I36" s="96">
        <v>1</v>
      </c>
      <c r="J36" s="97"/>
      <c r="K36" s="98"/>
      <c r="L36" s="97"/>
      <c r="M36" s="98"/>
      <c r="N36" s="97"/>
      <c r="O36" s="98"/>
      <c r="P36" s="97"/>
      <c r="Q36" s="98"/>
      <c r="R36" s="97"/>
      <c r="S36" s="98"/>
      <c r="T36" s="97"/>
      <c r="U36" s="98"/>
      <c r="V36" s="97"/>
      <c r="W36" s="98"/>
      <c r="X36" s="97"/>
      <c r="Y36" s="98"/>
      <c r="Z36" s="97"/>
      <c r="AA36" s="98"/>
      <c r="AE36" s="83"/>
      <c r="AF36" s="83"/>
      <c r="AG36" s="83"/>
      <c r="AH36" s="83"/>
      <c r="AI36" s="83"/>
      <c r="AJ36" s="83"/>
      <c r="AK36" s="83"/>
      <c r="AL36" s="83"/>
    </row>
    <row r="37" spans="1:38" s="82" customFormat="1">
      <c r="A37" s="57" t="s">
        <v>57</v>
      </c>
      <c r="B37" s="7">
        <v>3.69</v>
      </c>
      <c r="C37" s="81">
        <f>(B37*$A$3)-((D37*E37)+(F37*G37)+(H37*I37)+(J37*K37)+(L37*M37)+(N37*O37)+(P37*Q37)+(R37*S37)+(T37*U37)+(V37*W37)+(X37*Y37)+(Z37*AA37))</f>
        <v>8.3459999999999983</v>
      </c>
      <c r="D37" s="63"/>
      <c r="E37" s="64"/>
      <c r="F37" s="63"/>
      <c r="G37" s="64"/>
      <c r="H37" s="63"/>
      <c r="I37" s="64"/>
      <c r="J37" s="63"/>
      <c r="K37" s="64"/>
      <c r="L37" s="78">
        <v>1.1000000000000001</v>
      </c>
      <c r="M37" s="79">
        <v>2.1</v>
      </c>
      <c r="N37" s="78">
        <v>0.9</v>
      </c>
      <c r="O37" s="79">
        <v>2.1</v>
      </c>
      <c r="P37" s="63"/>
      <c r="Q37" s="64"/>
      <c r="R37" s="63"/>
      <c r="S37" s="64"/>
      <c r="T37" s="63"/>
      <c r="U37" s="64"/>
      <c r="V37" s="63"/>
      <c r="W37" s="64"/>
      <c r="X37" s="63"/>
      <c r="Y37" s="64"/>
      <c r="Z37" s="63"/>
      <c r="AA37" s="64"/>
    </row>
    <row r="38" spans="1:38" s="82" customFormat="1">
      <c r="A38" s="57" t="s">
        <v>58</v>
      </c>
      <c r="B38" s="7">
        <f>3.69-0.15</f>
        <v>3.54</v>
      </c>
      <c r="C38" s="81">
        <f>(B38*$A$3)-((D38*E38)+(F38*G38)+(H38*I38)+(J38*K38)+(L38*M38)+(N38*O38)+(P38*Q38)+(R38*S38)+(T38*U38)+(V38*W38)+(X38*Y38)+(Z38*AA38))</f>
        <v>12.036</v>
      </c>
      <c r="D38" s="63"/>
      <c r="E38" s="64"/>
      <c r="F38" s="63"/>
      <c r="G38" s="64"/>
      <c r="H38" s="63"/>
      <c r="I38" s="64"/>
      <c r="J38" s="63"/>
      <c r="K38" s="64"/>
      <c r="L38" s="63"/>
      <c r="M38" s="64"/>
      <c r="N38" s="63"/>
      <c r="O38" s="64"/>
      <c r="P38" s="63"/>
      <c r="Q38" s="64"/>
      <c r="R38" s="63"/>
      <c r="S38" s="64"/>
      <c r="T38" s="63"/>
      <c r="U38" s="64"/>
      <c r="V38" s="63"/>
      <c r="W38" s="64"/>
      <c r="X38" s="63"/>
      <c r="Y38" s="64"/>
      <c r="Z38" s="63"/>
      <c r="AA38" s="64"/>
    </row>
    <row r="39" spans="1:38" s="82" customFormat="1">
      <c r="A39" s="57" t="s">
        <v>59</v>
      </c>
      <c r="B39" s="7">
        <v>3.69</v>
      </c>
      <c r="C39" s="81">
        <f>(B39*$A$3)-((D39*E39)+(F39*G39)+(H39*I39)+(J39*K39)+(L39*M39)+(N39*O39)+(P39*Q39)+(R39*S39)+(T39*U39)+(V39*W39)+(X39*Y39)+(Z39*AA39))</f>
        <v>8.3459999999999983</v>
      </c>
      <c r="D39" s="63"/>
      <c r="E39" s="64"/>
      <c r="F39" s="63"/>
      <c r="G39" s="64"/>
      <c r="H39" s="63"/>
      <c r="I39" s="64"/>
      <c r="J39" s="63"/>
      <c r="K39" s="64"/>
      <c r="L39" s="78">
        <v>1.1000000000000001</v>
      </c>
      <c r="M39" s="79">
        <v>2.1</v>
      </c>
      <c r="N39" s="78">
        <v>0.9</v>
      </c>
      <c r="O39" s="79">
        <v>2.1</v>
      </c>
      <c r="P39" s="63"/>
      <c r="Q39" s="64"/>
      <c r="R39" s="63"/>
      <c r="S39" s="64"/>
      <c r="T39" s="63"/>
      <c r="U39" s="64"/>
      <c r="V39" s="63"/>
      <c r="W39" s="64"/>
      <c r="X39" s="63"/>
      <c r="Y39" s="64"/>
      <c r="Z39" s="63"/>
      <c r="AA39" s="64"/>
    </row>
    <row r="40" spans="1:38" s="82" customFormat="1">
      <c r="A40" s="57" t="s">
        <v>60</v>
      </c>
      <c r="B40" s="7">
        <v>12.7</v>
      </c>
      <c r="C40" s="81">
        <f>(B40*$A$3)-((D40*E40)+(F40*G40)+(H40*I40)+(J40*K40)+(L40*M40)+(N40*O40)+(P40*Q40)+(R40*S40)+(T40*U40)+(V40*W40)+(X40*Y40)+(Z40*AA40))</f>
        <v>43.18</v>
      </c>
      <c r="D40" s="63"/>
      <c r="E40" s="64"/>
      <c r="F40" s="63"/>
      <c r="G40" s="64"/>
      <c r="H40" s="63"/>
      <c r="I40" s="64"/>
      <c r="J40" s="63"/>
      <c r="K40" s="64"/>
      <c r="L40" s="63"/>
      <c r="M40" s="64"/>
      <c r="N40" s="63"/>
      <c r="O40" s="64"/>
      <c r="P40" s="63"/>
      <c r="Q40" s="64"/>
      <c r="R40" s="63"/>
      <c r="S40" s="64"/>
      <c r="T40" s="63"/>
      <c r="U40" s="64"/>
      <c r="V40" s="63"/>
      <c r="W40" s="64"/>
      <c r="X40" s="63"/>
      <c r="Y40" s="64"/>
      <c r="Z40" s="63"/>
      <c r="AA40" s="64"/>
    </row>
    <row r="41" spans="1:38" s="82" customFormat="1">
      <c r="A41" s="57" t="s">
        <v>61</v>
      </c>
      <c r="B41" s="7">
        <v>3.69</v>
      </c>
      <c r="C41" s="81">
        <f>(B41*$A$3)-((D41*E41)+(F41*G41)+(H41*I41)+(J41*K41)+(L41*M41)+(N41*O41)+(P41*Q41)+(R41*S41)+(T41*U41)+(V41*W41)+(X41*Y41)+(Z41*AA41))</f>
        <v>12.545999999999999</v>
      </c>
      <c r="D41" s="63"/>
      <c r="E41" s="64"/>
      <c r="F41" s="63"/>
      <c r="G41" s="64"/>
      <c r="H41" s="63"/>
      <c r="I41" s="64"/>
      <c r="J41" s="63"/>
      <c r="K41" s="64"/>
      <c r="L41" s="63"/>
      <c r="M41" s="64"/>
      <c r="N41" s="63"/>
      <c r="O41" s="64"/>
      <c r="P41" s="63"/>
      <c r="Q41" s="64"/>
      <c r="R41" s="63"/>
      <c r="S41" s="64"/>
      <c r="T41" s="63"/>
      <c r="U41" s="64"/>
      <c r="V41" s="63"/>
      <c r="W41" s="64"/>
      <c r="X41" s="63"/>
      <c r="Y41" s="64"/>
      <c r="Z41" s="63"/>
      <c r="AA41" s="64"/>
    </row>
    <row r="42" spans="1:38" s="82" customFormat="1">
      <c r="A42" s="57" t="s">
        <v>62</v>
      </c>
      <c r="B42" s="7">
        <v>4.4000000000000004</v>
      </c>
      <c r="C42" s="81">
        <f t="shared" si="0"/>
        <v>14.96</v>
      </c>
      <c r="D42" s="63"/>
      <c r="E42" s="64"/>
      <c r="F42" s="63"/>
      <c r="G42" s="64"/>
      <c r="H42" s="63"/>
      <c r="I42" s="64"/>
      <c r="J42" s="63"/>
      <c r="K42" s="64"/>
      <c r="L42" s="63"/>
      <c r="M42" s="64"/>
      <c r="N42" s="63"/>
      <c r="O42" s="64"/>
      <c r="P42" s="63"/>
      <c r="Q42" s="64"/>
      <c r="R42" s="63"/>
      <c r="S42" s="64"/>
      <c r="T42" s="63"/>
      <c r="U42" s="64"/>
      <c r="V42" s="63"/>
      <c r="W42" s="64"/>
      <c r="X42" s="63"/>
      <c r="Y42" s="64"/>
      <c r="Z42" s="63"/>
      <c r="AA42" s="64"/>
    </row>
    <row r="43" spans="1:38" s="82" customFormat="1">
      <c r="A43" s="57" t="s">
        <v>63</v>
      </c>
      <c r="B43" s="7">
        <v>3.55</v>
      </c>
      <c r="C43" s="81">
        <f t="shared" si="0"/>
        <v>12.069999999999999</v>
      </c>
      <c r="D43" s="63"/>
      <c r="E43" s="64"/>
      <c r="F43" s="63"/>
      <c r="G43" s="64"/>
      <c r="H43" s="63"/>
      <c r="I43" s="64"/>
      <c r="J43" s="63"/>
      <c r="K43" s="64"/>
      <c r="L43" s="63"/>
      <c r="M43" s="64"/>
      <c r="N43" s="63"/>
      <c r="O43" s="64"/>
      <c r="P43" s="63"/>
      <c r="Q43" s="64"/>
      <c r="R43" s="63"/>
      <c r="S43" s="64"/>
      <c r="T43" s="63"/>
      <c r="U43" s="64"/>
      <c r="V43" s="63"/>
      <c r="W43" s="64"/>
      <c r="X43" s="63"/>
      <c r="Y43" s="64"/>
      <c r="Z43" s="63"/>
      <c r="AA43" s="64"/>
    </row>
    <row r="44" spans="1:38" s="82" customFormat="1">
      <c r="A44" s="57" t="s">
        <v>64</v>
      </c>
      <c r="B44" s="7">
        <v>1.95</v>
      </c>
      <c r="C44" s="81">
        <f>(B44*$A$3)-((D44*E44)+(F44*G44)+(H44*I44)+(J44*K44)+(L44*M44)+(N44*O44)+(P44*Q44)+(R44*S44)+(T44*U44)+(V44*W44)+(X44*Y44)+(Z44*AA44))</f>
        <v>6.63</v>
      </c>
      <c r="D44" s="63"/>
      <c r="E44" s="64"/>
      <c r="F44" s="63"/>
      <c r="G44" s="64"/>
      <c r="H44" s="63"/>
      <c r="I44" s="64"/>
      <c r="J44" s="63"/>
      <c r="K44" s="64"/>
      <c r="L44" s="63"/>
      <c r="M44" s="64"/>
      <c r="N44" s="63"/>
      <c r="O44" s="64"/>
      <c r="P44" s="63"/>
      <c r="Q44" s="64"/>
      <c r="R44" s="63"/>
      <c r="S44" s="64"/>
      <c r="T44" s="63"/>
      <c r="U44" s="64"/>
      <c r="V44" s="63"/>
      <c r="W44" s="64"/>
      <c r="X44" s="63"/>
      <c r="Y44" s="64"/>
      <c r="Z44" s="63"/>
      <c r="AA44" s="64"/>
    </row>
    <row r="45" spans="1:38" s="82" customFormat="1">
      <c r="A45" s="57" t="s">
        <v>65</v>
      </c>
      <c r="B45" s="7">
        <v>10.82</v>
      </c>
      <c r="C45" s="81">
        <f>(B45*$A$3)-((D45*E45)+(F45*G45)+(H45*I45)+(J45*K45)+(L45*M45)+(N45*O45)+(P45*Q45)+(R45*S45)+(T45*U45)+(V45*W45)+(X45*Y45)+(Z45*AA45))</f>
        <v>33.007999999999996</v>
      </c>
      <c r="D45" s="63"/>
      <c r="E45" s="64"/>
      <c r="F45" s="63"/>
      <c r="G45" s="64"/>
      <c r="H45" s="63"/>
      <c r="I45" s="64"/>
      <c r="J45" s="63"/>
      <c r="K45" s="64"/>
      <c r="L45" s="78">
        <v>0.9</v>
      </c>
      <c r="M45" s="79">
        <v>2.1</v>
      </c>
      <c r="N45" s="78">
        <v>0.9</v>
      </c>
      <c r="O45" s="79">
        <v>2.1</v>
      </c>
      <c r="P45" s="63"/>
      <c r="Q45" s="64"/>
      <c r="R45" s="63"/>
      <c r="S45" s="64"/>
      <c r="T45" s="63"/>
      <c r="U45" s="64"/>
      <c r="V45" s="63"/>
      <c r="W45" s="64"/>
      <c r="X45" s="63"/>
      <c r="Y45" s="64"/>
      <c r="Z45" s="63"/>
      <c r="AA45" s="64"/>
    </row>
    <row r="46" spans="1:38" s="82" customFormat="1">
      <c r="A46" s="57" t="s">
        <v>66</v>
      </c>
      <c r="B46" s="7">
        <v>1.95</v>
      </c>
      <c r="C46" s="81">
        <f>(B46*$A$3)-((D46*E46)+(F46*G46)+(H46*I46)+(J46*K46)+(L46*M46)+(N46*O46)+(P46*Q46)+(R46*S46)+(T46*U46)+(V46*W46)+(X46*Y46)+(Z46*AA46))</f>
        <v>6.63</v>
      </c>
      <c r="D46" s="63"/>
      <c r="E46" s="64"/>
      <c r="F46" s="63"/>
      <c r="G46" s="64"/>
      <c r="H46" s="63"/>
      <c r="I46" s="64"/>
      <c r="J46" s="63"/>
      <c r="K46" s="64"/>
      <c r="L46" s="63"/>
      <c r="M46" s="64"/>
      <c r="N46" s="63"/>
      <c r="O46" s="64"/>
      <c r="P46" s="63"/>
      <c r="Q46" s="64"/>
      <c r="R46" s="63"/>
      <c r="S46" s="64"/>
      <c r="T46" s="63"/>
      <c r="U46" s="64"/>
      <c r="V46" s="63"/>
      <c r="W46" s="64"/>
      <c r="X46" s="63"/>
      <c r="Y46" s="64"/>
      <c r="Z46" s="63"/>
      <c r="AA46" s="64"/>
    </row>
    <row r="47" spans="1:38" s="82" customFormat="1">
      <c r="A47" s="57" t="s">
        <v>67</v>
      </c>
      <c r="B47" s="7">
        <v>2.35</v>
      </c>
      <c r="C47" s="81">
        <f>(B47*$A$3)-((D47*E47)+(F47*G47)+(H47*I47)+(J47*K47)+(L47*M47)+(N47*O47)+(P47*Q47)+(R47*S47)+(T47*U47)+(V47*W47)+(X47*Y47)+(Z47*AA47))</f>
        <v>6.1</v>
      </c>
      <c r="D47" s="63"/>
      <c r="E47" s="64"/>
      <c r="F47" s="63"/>
      <c r="G47" s="64"/>
      <c r="H47" s="63"/>
      <c r="I47" s="64"/>
      <c r="J47" s="63"/>
      <c r="K47" s="64"/>
      <c r="L47" s="78">
        <v>0.9</v>
      </c>
      <c r="M47" s="79">
        <v>2.1</v>
      </c>
      <c r="N47" s="63"/>
      <c r="O47" s="64"/>
      <c r="P47" s="63"/>
      <c r="Q47" s="64"/>
      <c r="R47" s="63"/>
      <c r="S47" s="64"/>
      <c r="T47" s="63"/>
      <c r="U47" s="64"/>
      <c r="V47" s="63"/>
      <c r="W47" s="64"/>
      <c r="X47" s="63"/>
      <c r="Y47" s="64"/>
      <c r="Z47" s="63"/>
      <c r="AA47" s="64"/>
    </row>
    <row r="48" spans="1:38" s="82" customFormat="1">
      <c r="A48" s="57" t="s">
        <v>68</v>
      </c>
      <c r="B48" s="7">
        <v>1.95</v>
      </c>
      <c r="C48" s="81">
        <f>(B48*$A$3)-((D48*E48)+(F48*G48)+(H48*I48)+(J48*K48)+(L48*M48)+(N48*O48)+(P48*Q48)+(R48*S48)+(T48*U48)+(V48*W48)+(X48*Y48)+(Z48*AA48))</f>
        <v>6.63</v>
      </c>
      <c r="D48" s="63"/>
      <c r="E48" s="64"/>
      <c r="F48" s="63"/>
      <c r="G48" s="64"/>
      <c r="H48" s="63"/>
      <c r="I48" s="64"/>
      <c r="J48" s="63"/>
      <c r="K48" s="64"/>
      <c r="L48" s="63"/>
      <c r="M48" s="64"/>
      <c r="N48" s="63"/>
      <c r="O48" s="64"/>
      <c r="P48" s="63"/>
      <c r="Q48" s="64"/>
      <c r="R48" s="63"/>
      <c r="S48" s="64"/>
      <c r="T48" s="63"/>
      <c r="U48" s="64"/>
      <c r="V48" s="63"/>
      <c r="W48" s="64"/>
      <c r="X48" s="63"/>
      <c r="Y48" s="64"/>
      <c r="Z48" s="63"/>
      <c r="AA48" s="64"/>
    </row>
    <row r="49" spans="1:27" s="82" customFormat="1">
      <c r="A49" s="57" t="s">
        <v>69</v>
      </c>
      <c r="B49" s="7">
        <v>3.45</v>
      </c>
      <c r="C49" s="81">
        <f t="shared" si="0"/>
        <v>11.73</v>
      </c>
      <c r="D49" s="63"/>
      <c r="E49" s="64"/>
      <c r="F49" s="63"/>
      <c r="G49" s="64"/>
      <c r="H49" s="63"/>
      <c r="I49" s="64"/>
      <c r="J49" s="63"/>
      <c r="K49" s="64"/>
      <c r="L49" s="63"/>
      <c r="M49" s="64"/>
      <c r="N49" s="63"/>
      <c r="O49" s="64"/>
      <c r="P49" s="63"/>
      <c r="Q49" s="64"/>
      <c r="R49" s="63"/>
      <c r="S49" s="64"/>
      <c r="T49" s="63"/>
      <c r="U49" s="64"/>
      <c r="V49" s="63"/>
      <c r="W49" s="64"/>
      <c r="X49" s="63"/>
      <c r="Y49" s="64"/>
      <c r="Z49" s="63"/>
      <c r="AA49" s="64"/>
    </row>
    <row r="50" spans="1:27" s="82" customFormat="1">
      <c r="A50" s="57" t="s">
        <v>70</v>
      </c>
      <c r="B50" s="7">
        <v>4.0199999999999996</v>
      </c>
      <c r="C50" s="81">
        <f t="shared" ref="C50:C57" si="2">(B50*$A$3)-((D50*E50)+(F50*G50)+(H50*I50)+(J50*K50)+(L50*M50)+(N50*O50)+(P50*Q50)+(R50*S50)+(T50*U50)+(V50*W50)+(X50*Y50)+(Z50*AA50))</f>
        <v>7.4519999999999973</v>
      </c>
      <c r="D50" s="63"/>
      <c r="E50" s="64"/>
      <c r="F50" s="63"/>
      <c r="G50" s="64"/>
      <c r="H50" s="63"/>
      <c r="I50" s="64"/>
      <c r="J50" s="63"/>
      <c r="K50" s="64"/>
      <c r="L50" s="78">
        <v>1.48</v>
      </c>
      <c r="M50" s="79">
        <v>2.1</v>
      </c>
      <c r="N50" s="78">
        <v>1.48</v>
      </c>
      <c r="O50" s="79">
        <v>2.1</v>
      </c>
      <c r="P50" s="63"/>
      <c r="Q50" s="64"/>
      <c r="R50" s="63"/>
      <c r="S50" s="64"/>
      <c r="T50" s="63"/>
      <c r="U50" s="64"/>
      <c r="V50" s="63"/>
      <c r="W50" s="64"/>
      <c r="X50" s="63"/>
      <c r="Y50" s="64"/>
      <c r="Z50" s="63"/>
      <c r="AA50" s="64"/>
    </row>
    <row r="51" spans="1:27" s="82" customFormat="1">
      <c r="A51" s="57" t="s">
        <v>71</v>
      </c>
      <c r="B51" s="7">
        <v>3.75</v>
      </c>
      <c r="C51" s="81">
        <f t="shared" si="2"/>
        <v>12.75</v>
      </c>
      <c r="D51" s="63"/>
      <c r="E51" s="64"/>
      <c r="F51" s="63"/>
      <c r="G51" s="64"/>
      <c r="H51" s="63"/>
      <c r="I51" s="64"/>
      <c r="J51" s="63"/>
      <c r="K51" s="64"/>
      <c r="L51" s="63"/>
      <c r="M51" s="64"/>
      <c r="N51" s="63"/>
      <c r="O51" s="64"/>
      <c r="P51" s="63"/>
      <c r="Q51" s="64"/>
      <c r="R51" s="63"/>
      <c r="S51" s="64"/>
      <c r="T51" s="63"/>
      <c r="U51" s="64"/>
      <c r="V51" s="63"/>
      <c r="W51" s="64"/>
      <c r="X51" s="63"/>
      <c r="Y51" s="64"/>
      <c r="Z51" s="63"/>
      <c r="AA51" s="64"/>
    </row>
    <row r="52" spans="1:27" s="82" customFormat="1">
      <c r="A52" s="57" t="s">
        <v>72</v>
      </c>
      <c r="B52" s="7">
        <v>2.35</v>
      </c>
      <c r="C52" s="81">
        <f t="shared" si="2"/>
        <v>7.99</v>
      </c>
      <c r="D52" s="63"/>
      <c r="E52" s="64"/>
      <c r="F52" s="63"/>
      <c r="G52" s="64"/>
      <c r="H52" s="63"/>
      <c r="I52" s="64"/>
      <c r="J52" s="63"/>
      <c r="K52" s="64"/>
      <c r="L52" s="63"/>
      <c r="M52" s="64"/>
      <c r="N52" s="63"/>
      <c r="O52" s="64"/>
      <c r="P52" s="63"/>
      <c r="Q52" s="64"/>
      <c r="R52" s="63"/>
      <c r="S52" s="64"/>
      <c r="T52" s="63"/>
      <c r="U52" s="64"/>
      <c r="V52" s="63"/>
      <c r="W52" s="64"/>
      <c r="X52" s="63"/>
      <c r="Y52" s="64"/>
      <c r="Z52" s="63"/>
      <c r="AA52" s="64"/>
    </row>
    <row r="53" spans="1:27" s="82" customFormat="1">
      <c r="A53" s="57" t="s">
        <v>73</v>
      </c>
      <c r="B53" s="7">
        <v>2.0499999999999998</v>
      </c>
      <c r="C53" s="81">
        <f t="shared" si="2"/>
        <v>6.9699999999999989</v>
      </c>
      <c r="D53" s="63"/>
      <c r="E53" s="64"/>
      <c r="F53" s="63"/>
      <c r="G53" s="64"/>
      <c r="H53" s="63"/>
      <c r="I53" s="64"/>
      <c r="J53" s="63"/>
      <c r="K53" s="64"/>
      <c r="L53" s="63"/>
      <c r="M53" s="64"/>
      <c r="N53" s="63"/>
      <c r="O53" s="64"/>
      <c r="P53" s="63"/>
      <c r="Q53" s="64"/>
      <c r="R53" s="63"/>
      <c r="S53" s="64"/>
      <c r="T53" s="63"/>
      <c r="U53" s="64"/>
      <c r="V53" s="63"/>
      <c r="W53" s="64"/>
      <c r="X53" s="63"/>
      <c r="Y53" s="64"/>
      <c r="Z53" s="63"/>
      <c r="AA53" s="64"/>
    </row>
    <row r="54" spans="1:27" s="82" customFormat="1">
      <c r="A54" s="57" t="s">
        <v>74</v>
      </c>
      <c r="B54" s="7">
        <v>6.65</v>
      </c>
      <c r="C54" s="81">
        <f t="shared" si="2"/>
        <v>20.93</v>
      </c>
      <c r="D54" s="63"/>
      <c r="E54" s="64"/>
      <c r="F54" s="63"/>
      <c r="G54" s="64"/>
      <c r="H54" s="63"/>
      <c r="I54" s="64"/>
      <c r="J54" s="63"/>
      <c r="K54" s="64"/>
      <c r="L54" s="78">
        <v>0.8</v>
      </c>
      <c r="M54" s="79">
        <v>2.1</v>
      </c>
      <c r="N54" s="63"/>
      <c r="O54" s="64"/>
      <c r="P54" s="63"/>
      <c r="Q54" s="64"/>
      <c r="R54" s="63"/>
      <c r="S54" s="64"/>
      <c r="T54" s="63"/>
      <c r="U54" s="64"/>
      <c r="V54" s="63"/>
      <c r="W54" s="64"/>
      <c r="X54" s="63"/>
      <c r="Y54" s="64"/>
      <c r="Z54" s="63"/>
      <c r="AA54" s="64"/>
    </row>
    <row r="55" spans="1:27" s="82" customFormat="1">
      <c r="A55" s="57" t="s">
        <v>75</v>
      </c>
      <c r="B55" s="7">
        <f>6.85+2.05</f>
        <v>8.8999999999999986</v>
      </c>
      <c r="C55" s="81">
        <f t="shared" si="2"/>
        <v>23.539999999999992</v>
      </c>
      <c r="D55" s="63"/>
      <c r="E55" s="64"/>
      <c r="F55" s="63"/>
      <c r="G55" s="64"/>
      <c r="H55" s="63"/>
      <c r="I55" s="64"/>
      <c r="J55" s="63"/>
      <c r="K55" s="64"/>
      <c r="L55" s="78">
        <v>1.1000000000000001</v>
      </c>
      <c r="M55" s="79">
        <v>2.1</v>
      </c>
      <c r="N55" s="78">
        <v>2.1</v>
      </c>
      <c r="O55" s="79">
        <v>2.1</v>
      </c>
      <c r="P55" s="63"/>
      <c r="Q55" s="64"/>
      <c r="R55" s="63"/>
      <c r="S55" s="64"/>
      <c r="T55" s="63"/>
      <c r="U55" s="64"/>
      <c r="V55" s="63"/>
      <c r="W55" s="64"/>
      <c r="X55" s="63"/>
      <c r="Y55" s="64"/>
      <c r="Z55" s="63"/>
      <c r="AA55" s="64"/>
    </row>
    <row r="56" spans="1:27" s="82" customFormat="1">
      <c r="A56" s="57" t="s">
        <v>76</v>
      </c>
      <c r="B56" s="7">
        <v>10.82</v>
      </c>
      <c r="C56" s="81">
        <f t="shared" si="2"/>
        <v>35.107999999999997</v>
      </c>
      <c r="D56" s="63"/>
      <c r="E56" s="64"/>
      <c r="F56" s="63"/>
      <c r="G56" s="64"/>
      <c r="H56" s="63"/>
      <c r="I56" s="64"/>
      <c r="J56" s="63"/>
      <c r="K56" s="64"/>
      <c r="L56" s="78">
        <v>0.8</v>
      </c>
      <c r="M56" s="79">
        <v>2.1</v>
      </c>
      <c r="N56" s="63"/>
      <c r="O56" s="64"/>
      <c r="P56" s="63"/>
      <c r="Q56" s="64"/>
      <c r="R56" s="63"/>
      <c r="S56" s="64"/>
      <c r="T56" s="63"/>
      <c r="U56" s="64"/>
      <c r="V56" s="63"/>
      <c r="W56" s="64"/>
      <c r="X56" s="63"/>
      <c r="Y56" s="64"/>
      <c r="Z56" s="63"/>
      <c r="AA56" s="64"/>
    </row>
    <row r="57" spans="1:27" s="82" customFormat="1">
      <c r="A57" s="57" t="s">
        <v>77</v>
      </c>
      <c r="B57" s="7">
        <v>7</v>
      </c>
      <c r="C57" s="81">
        <f t="shared" si="2"/>
        <v>22.12</v>
      </c>
      <c r="D57" s="63"/>
      <c r="E57" s="64"/>
      <c r="F57" s="63"/>
      <c r="G57" s="64"/>
      <c r="H57" s="63"/>
      <c r="I57" s="64"/>
      <c r="J57" s="63"/>
      <c r="K57" s="64"/>
      <c r="L57" s="78">
        <v>0.8</v>
      </c>
      <c r="M57" s="79">
        <v>2.1</v>
      </c>
      <c r="N57" s="63"/>
      <c r="O57" s="64"/>
      <c r="P57" s="63"/>
      <c r="Q57" s="64"/>
      <c r="R57" s="63"/>
      <c r="S57" s="64"/>
      <c r="T57" s="63"/>
      <c r="U57" s="64"/>
      <c r="V57" s="63"/>
      <c r="W57" s="64"/>
      <c r="X57" s="63"/>
      <c r="Y57" s="64"/>
      <c r="Z57" s="63"/>
      <c r="AA57" s="64"/>
    </row>
    <row r="58" spans="1:27" s="82" customFormat="1">
      <c r="A58" s="57" t="s">
        <v>78</v>
      </c>
      <c r="B58" s="7">
        <v>5.0999999999999996</v>
      </c>
      <c r="C58" s="81">
        <f t="shared" si="0"/>
        <v>17.34</v>
      </c>
      <c r="D58" s="63"/>
      <c r="E58" s="64"/>
      <c r="F58" s="63"/>
      <c r="G58" s="64"/>
      <c r="H58" s="63"/>
      <c r="I58" s="64"/>
      <c r="J58" s="63"/>
      <c r="K58" s="64"/>
      <c r="L58" s="63"/>
      <c r="M58" s="64"/>
      <c r="N58" s="63"/>
      <c r="O58" s="64"/>
      <c r="P58" s="63"/>
      <c r="Q58" s="64"/>
      <c r="R58" s="63"/>
      <c r="S58" s="64"/>
      <c r="T58" s="63"/>
      <c r="U58" s="64"/>
      <c r="V58" s="63"/>
      <c r="W58" s="64"/>
      <c r="X58" s="63"/>
      <c r="Y58" s="64"/>
      <c r="Z58" s="63"/>
      <c r="AA58" s="64"/>
    </row>
    <row r="59" spans="1:27" s="82" customFormat="1">
      <c r="A59" s="57" t="s">
        <v>79</v>
      </c>
      <c r="B59" s="7">
        <v>9.0500000000000007</v>
      </c>
      <c r="C59" s="81">
        <f>(B59*$A$3)-((D59*E59)+(F59*G59)+(H59*I59)+(J59*K59)+(L59*M59)+(N59*O59)+(P59*Q59)+(R59*S59)+(T59*U59)+(V59*W59)+(X59*Y59)+(Z59*AA59))</f>
        <v>30.770000000000003</v>
      </c>
      <c r="D59" s="63"/>
      <c r="E59" s="64"/>
      <c r="F59" s="63"/>
      <c r="G59" s="64"/>
      <c r="H59" s="63"/>
      <c r="I59" s="64"/>
      <c r="J59" s="63"/>
      <c r="K59" s="64"/>
      <c r="L59" s="63"/>
      <c r="M59" s="64"/>
      <c r="N59" s="63"/>
      <c r="O59" s="64"/>
      <c r="P59" s="63"/>
      <c r="Q59" s="64"/>
      <c r="R59" s="63"/>
      <c r="S59" s="64"/>
      <c r="T59" s="63"/>
      <c r="U59" s="64"/>
      <c r="V59" s="63"/>
      <c r="W59" s="64"/>
      <c r="X59" s="63"/>
      <c r="Y59" s="64"/>
      <c r="Z59" s="63"/>
      <c r="AA59" s="64"/>
    </row>
    <row r="60" spans="1:27" s="82" customFormat="1">
      <c r="A60" s="57" t="s">
        <v>80</v>
      </c>
      <c r="B60" s="7">
        <v>3.35</v>
      </c>
      <c r="C60" s="81">
        <f>(B60*$A$3)-((D60*E60)+(F60*G60)+(H60*I60)+(J60*K60)+(L60*M60)+(N60*O60)+(P60*Q60)+(R60*S60)+(T60*U60)+(V60*W60)+(X60*Y60)+(Z60*AA60))</f>
        <v>11.39</v>
      </c>
      <c r="D60" s="63"/>
      <c r="E60" s="64"/>
      <c r="F60" s="63"/>
      <c r="G60" s="64"/>
      <c r="H60" s="63"/>
      <c r="I60" s="64"/>
      <c r="J60" s="63"/>
      <c r="K60" s="64"/>
      <c r="L60" s="63"/>
      <c r="M60" s="64"/>
      <c r="N60" s="63"/>
      <c r="O60" s="64"/>
      <c r="P60" s="63"/>
      <c r="Q60" s="64"/>
      <c r="R60" s="63"/>
      <c r="S60" s="64"/>
      <c r="T60" s="63"/>
      <c r="U60" s="64"/>
      <c r="V60" s="63"/>
      <c r="W60" s="64"/>
      <c r="X60" s="63"/>
      <c r="Y60" s="64"/>
      <c r="Z60" s="63"/>
      <c r="AA60" s="64"/>
    </row>
    <row r="61" spans="1:27" s="82" customFormat="1">
      <c r="A61" s="57" t="s">
        <v>81</v>
      </c>
      <c r="B61" s="7">
        <v>3.5</v>
      </c>
      <c r="C61" s="81">
        <f t="shared" si="0"/>
        <v>11.9</v>
      </c>
      <c r="D61" s="63"/>
      <c r="E61" s="64"/>
      <c r="F61" s="63"/>
      <c r="G61" s="64"/>
      <c r="H61" s="63"/>
      <c r="I61" s="64"/>
      <c r="J61" s="63"/>
      <c r="K61" s="64"/>
      <c r="L61" s="63"/>
      <c r="M61" s="64"/>
      <c r="N61" s="63"/>
      <c r="O61" s="64"/>
      <c r="P61" s="63"/>
      <c r="Q61" s="64"/>
      <c r="R61" s="63"/>
      <c r="S61" s="64"/>
      <c r="T61" s="63"/>
      <c r="U61" s="64"/>
      <c r="V61" s="63"/>
      <c r="W61" s="64"/>
      <c r="X61" s="63"/>
      <c r="Y61" s="64"/>
      <c r="Z61" s="63"/>
      <c r="AA61" s="64"/>
    </row>
    <row r="62" spans="1:27" s="82" customFormat="1">
      <c r="A62" s="57" t="s">
        <v>82</v>
      </c>
      <c r="B62" s="7">
        <v>1.8</v>
      </c>
      <c r="C62" s="81">
        <f>(B62*$A$3)-((D62*E62)+(F62*G62)+(H62*I62)+(J62*K62)+(L62*M62)+(N62*O62)+(P62*Q62)+(R62*S62)+(T62*U62)+(V62*W62)+(X62*Y62)+(Z62*AA62))</f>
        <v>4.2300000000000004</v>
      </c>
      <c r="D62" s="63"/>
      <c r="E62" s="64"/>
      <c r="F62" s="63"/>
      <c r="G62" s="64"/>
      <c r="H62" s="63"/>
      <c r="I62" s="64"/>
      <c r="J62" s="63"/>
      <c r="K62" s="64"/>
      <c r="L62" s="78">
        <v>0.9</v>
      </c>
      <c r="M62" s="79">
        <v>2.1</v>
      </c>
      <c r="N62" s="63"/>
      <c r="O62" s="64"/>
      <c r="P62" s="63"/>
      <c r="Q62" s="64"/>
      <c r="R62" s="63"/>
      <c r="S62" s="64"/>
      <c r="T62" s="63"/>
      <c r="U62" s="64"/>
      <c r="V62" s="63"/>
      <c r="W62" s="64"/>
      <c r="X62" s="63"/>
      <c r="Y62" s="64"/>
      <c r="Z62" s="63"/>
      <c r="AA62" s="64"/>
    </row>
    <row r="63" spans="1:27" s="82" customFormat="1">
      <c r="A63" s="57" t="s">
        <v>133</v>
      </c>
      <c r="B63" s="7">
        <v>1.8</v>
      </c>
      <c r="C63" s="81">
        <f>(B63*$A$3)-((D63*E63)+(F63*G63)+(H63*I63)+(J63*K63)+(L63*M63)+(N63*O63)+(P63*Q63)+(R63*S63)+(T63*U63)+(V63*W63)+(X63*Y63)+(Z63*AA63))</f>
        <v>4.2300000000000004</v>
      </c>
      <c r="D63" s="63"/>
      <c r="E63" s="64"/>
      <c r="F63" s="63"/>
      <c r="G63" s="64"/>
      <c r="H63" s="63"/>
      <c r="I63" s="64"/>
      <c r="J63" s="63"/>
      <c r="K63" s="64"/>
      <c r="L63" s="78">
        <v>0.9</v>
      </c>
      <c r="M63" s="79">
        <v>2.1</v>
      </c>
      <c r="N63" s="63"/>
      <c r="O63" s="64"/>
      <c r="P63" s="63"/>
      <c r="Q63" s="64"/>
      <c r="R63" s="63"/>
      <c r="S63" s="64"/>
      <c r="T63" s="63"/>
      <c r="U63" s="64"/>
      <c r="V63" s="63"/>
      <c r="W63" s="64"/>
      <c r="X63" s="63"/>
      <c r="Y63" s="64"/>
      <c r="Z63" s="63"/>
      <c r="AA63" s="64"/>
    </row>
    <row r="64" spans="1:27" s="82" customFormat="1">
      <c r="A64" s="57" t="s">
        <v>134</v>
      </c>
      <c r="B64" s="7">
        <v>9.33</v>
      </c>
      <c r="C64" s="81">
        <f t="shared" si="0"/>
        <v>31.721999999999998</v>
      </c>
      <c r="D64" s="63"/>
      <c r="E64" s="64"/>
      <c r="F64" s="63"/>
      <c r="G64" s="64"/>
      <c r="H64" s="63"/>
      <c r="I64" s="64"/>
      <c r="J64" s="63"/>
      <c r="K64" s="64"/>
      <c r="L64" s="63"/>
      <c r="M64" s="64"/>
      <c r="N64" s="63"/>
      <c r="O64" s="64"/>
      <c r="P64" s="63"/>
      <c r="Q64" s="64"/>
      <c r="R64" s="63"/>
      <c r="S64" s="64"/>
      <c r="T64" s="63"/>
      <c r="U64" s="64"/>
      <c r="V64" s="63"/>
      <c r="W64" s="64"/>
      <c r="X64" s="63"/>
      <c r="Y64" s="64"/>
      <c r="Z64" s="63"/>
      <c r="AA64" s="64"/>
    </row>
    <row r="65" spans="1:27" s="82" customFormat="1">
      <c r="A65" s="57" t="s">
        <v>134</v>
      </c>
      <c r="B65" s="7">
        <f>12.7-9.33</f>
        <v>3.3699999999999992</v>
      </c>
      <c r="C65" s="81">
        <f>(B65*$A$3)-((D65*E65)+(F65*G65)+(H65*I65)+(J65*K65)+(L65*M65)+(N65*O65)+(P65*Q65)+(R65*S65)+(T65*U65)+(V65*W65)+(X65*Y65)+(Z65*AA65))</f>
        <v>11.457999999999997</v>
      </c>
      <c r="D65" s="63"/>
      <c r="E65" s="64"/>
      <c r="F65" s="63"/>
      <c r="G65" s="64"/>
      <c r="H65" s="63"/>
      <c r="I65" s="64"/>
      <c r="J65" s="63"/>
      <c r="K65" s="64"/>
      <c r="L65" s="63"/>
      <c r="M65" s="64"/>
      <c r="N65" s="63"/>
      <c r="O65" s="64"/>
      <c r="P65" s="63"/>
      <c r="Q65" s="64"/>
      <c r="R65" s="63"/>
      <c r="S65" s="64"/>
      <c r="T65" s="63"/>
      <c r="U65" s="64"/>
      <c r="V65" s="63"/>
      <c r="W65" s="64"/>
      <c r="X65" s="63"/>
      <c r="Y65" s="64"/>
      <c r="Z65" s="63"/>
      <c r="AA65" s="64"/>
    </row>
    <row r="66" spans="1:27" s="82" customFormat="1">
      <c r="A66" s="57" t="s">
        <v>135</v>
      </c>
      <c r="B66" s="7">
        <v>1.45</v>
      </c>
      <c r="C66" s="81">
        <f>(B66*$A$3)-((D66*E66)+(F66*G66)+(H66*I66)+(J66*K66)+(L66*M66)+(N66*O66)+(P66*Q66)+(R66*S66)+(T66*U66)+(V66*W66)+(X66*Y66)+(Z66*AA66))</f>
        <v>4.93</v>
      </c>
      <c r="D66" s="63"/>
      <c r="E66" s="64"/>
      <c r="F66" s="63"/>
      <c r="G66" s="64"/>
      <c r="H66" s="63"/>
      <c r="I66" s="64"/>
      <c r="J66" s="63"/>
      <c r="K66" s="64"/>
      <c r="L66" s="63"/>
      <c r="M66" s="64"/>
      <c r="N66" s="63"/>
      <c r="O66" s="64"/>
      <c r="P66" s="63"/>
      <c r="Q66" s="64"/>
      <c r="R66" s="63"/>
      <c r="S66" s="64"/>
      <c r="T66" s="63"/>
      <c r="U66" s="64"/>
      <c r="V66" s="63"/>
      <c r="W66" s="64"/>
      <c r="X66" s="63"/>
      <c r="Y66" s="64"/>
      <c r="Z66" s="63"/>
      <c r="AA66" s="64"/>
    </row>
    <row r="67" spans="1:27" s="82" customFormat="1">
      <c r="A67" s="57" t="s">
        <v>136</v>
      </c>
      <c r="B67" s="7">
        <v>9.1300000000000008</v>
      </c>
      <c r="C67" s="81">
        <f t="shared" si="0"/>
        <v>31.042000000000002</v>
      </c>
      <c r="D67" s="63"/>
      <c r="E67" s="64"/>
      <c r="F67" s="63"/>
      <c r="G67" s="64"/>
      <c r="H67" s="63"/>
      <c r="I67" s="64"/>
      <c r="J67" s="63"/>
      <c r="K67" s="64"/>
      <c r="L67" s="63"/>
      <c r="M67" s="64"/>
      <c r="N67" s="63"/>
      <c r="O67" s="64"/>
      <c r="P67" s="63"/>
      <c r="Q67" s="64"/>
      <c r="R67" s="63"/>
      <c r="S67" s="64"/>
      <c r="T67" s="63"/>
      <c r="U67" s="64"/>
      <c r="V67" s="63"/>
      <c r="W67" s="64"/>
      <c r="X67" s="63"/>
      <c r="Y67" s="64"/>
      <c r="Z67" s="63"/>
      <c r="AA67" s="64"/>
    </row>
    <row r="68" spans="1:27" s="82" customFormat="1">
      <c r="A68" s="57" t="s">
        <v>137</v>
      </c>
      <c r="B68" s="7">
        <v>20.93</v>
      </c>
      <c r="C68" s="81">
        <f>(B68*$A$3)-((D68*E68)+(F68*G68)+(H68*I68)+(J68*K68)+(L68*M68)+(N68*O68)+(P68*Q68)+(R68*S68)+(T68*U68)+(V68*W68)+(X68*Y68)+(Z68*AA68))</f>
        <v>62.971999999999994</v>
      </c>
      <c r="D68" s="63"/>
      <c r="E68" s="64"/>
      <c r="F68" s="63"/>
      <c r="G68" s="64"/>
      <c r="H68" s="63"/>
      <c r="I68" s="64"/>
      <c r="J68" s="63"/>
      <c r="K68" s="64"/>
      <c r="L68" s="78">
        <v>0.9</v>
      </c>
      <c r="M68" s="79">
        <v>2.1</v>
      </c>
      <c r="N68" s="78">
        <v>0.9</v>
      </c>
      <c r="O68" s="79">
        <v>2.1</v>
      </c>
      <c r="P68" s="78">
        <v>2.1</v>
      </c>
      <c r="Q68" s="79">
        <v>2.1</v>
      </c>
      <c r="R68" s="63"/>
      <c r="S68" s="64"/>
      <c r="T68" s="63"/>
      <c r="U68" s="64"/>
      <c r="V68" s="63"/>
      <c r="W68" s="64"/>
      <c r="X68" s="63"/>
      <c r="Y68" s="64"/>
      <c r="Z68" s="63"/>
      <c r="AA68" s="64"/>
    </row>
    <row r="69" spans="1:27" s="82" customFormat="1">
      <c r="A69" s="57" t="s">
        <v>138</v>
      </c>
      <c r="B69" s="7">
        <v>14.8</v>
      </c>
      <c r="C69" s="81">
        <f t="shared" si="0"/>
        <v>50.32</v>
      </c>
      <c r="D69" s="63"/>
      <c r="E69" s="64"/>
      <c r="F69" s="63"/>
      <c r="G69" s="64"/>
      <c r="H69" s="63"/>
      <c r="I69" s="64"/>
      <c r="J69" s="63"/>
      <c r="K69" s="64"/>
      <c r="L69" s="63"/>
      <c r="M69" s="64"/>
      <c r="N69" s="63"/>
      <c r="O69" s="64"/>
      <c r="P69" s="63"/>
      <c r="Q69" s="64"/>
      <c r="R69" s="63"/>
      <c r="S69" s="64"/>
      <c r="T69" s="63"/>
      <c r="U69" s="64"/>
      <c r="V69" s="63"/>
      <c r="W69" s="64"/>
      <c r="X69" s="63"/>
      <c r="Y69" s="64"/>
      <c r="Z69" s="63"/>
      <c r="AA69" s="64"/>
    </row>
    <row r="70" spans="1:27" s="82" customFormat="1">
      <c r="A70" s="57" t="s">
        <v>139</v>
      </c>
      <c r="B70" s="7">
        <f>6.69+7.58</f>
        <v>14.27</v>
      </c>
      <c r="C70" s="81">
        <f t="shared" si="0"/>
        <v>-25.106999999999999</v>
      </c>
      <c r="D70" s="78">
        <v>7.75</v>
      </c>
      <c r="E70" s="79">
        <v>9.5</v>
      </c>
      <c r="F70" s="63"/>
      <c r="G70" s="64"/>
      <c r="H70" s="63"/>
      <c r="I70" s="64"/>
      <c r="J70" s="63"/>
      <c r="K70" s="64"/>
      <c r="L70" s="63"/>
      <c r="M70" s="64"/>
      <c r="N70" s="63"/>
      <c r="O70" s="64"/>
      <c r="P70" s="63"/>
      <c r="Q70" s="64"/>
      <c r="R70" s="63"/>
      <c r="S70" s="64"/>
      <c r="T70" s="63"/>
      <c r="U70" s="64"/>
      <c r="V70" s="63"/>
      <c r="W70" s="64"/>
      <c r="X70" s="63"/>
      <c r="Y70" s="64"/>
      <c r="Z70" s="63"/>
      <c r="AA70" s="64"/>
    </row>
    <row r="71" spans="1:27" s="82" customFormat="1">
      <c r="A71" s="57" t="s">
        <v>140</v>
      </c>
      <c r="B71" s="7">
        <v>3.45</v>
      </c>
      <c r="C71" s="81">
        <f t="shared" ref="C71" si="3">(B71*$A$3)-((D71*E71)+(F71*G71)+(H71*I71)+(J71*K71)+(L71*M71)+(N71*O71)+(P71*Q71)+(R71*S71)+(T71*U71)+(V71*W71)+(X71*Y71)+(Z71*AA71))</f>
        <v>11.73</v>
      </c>
      <c r="D71" s="63"/>
      <c r="E71" s="64"/>
      <c r="F71" s="63"/>
      <c r="G71" s="64"/>
      <c r="H71" s="63"/>
      <c r="I71" s="64"/>
      <c r="J71" s="63"/>
      <c r="K71" s="64"/>
      <c r="L71" s="63"/>
      <c r="M71" s="64"/>
      <c r="N71" s="63"/>
      <c r="O71" s="64"/>
      <c r="P71" s="63"/>
      <c r="Q71" s="64"/>
      <c r="R71" s="63"/>
      <c r="S71" s="64"/>
      <c r="T71" s="63"/>
      <c r="U71" s="64"/>
      <c r="V71" s="63"/>
      <c r="W71" s="64"/>
      <c r="X71" s="63"/>
      <c r="Y71" s="64"/>
      <c r="Z71" s="63"/>
      <c r="AA71" s="64"/>
    </row>
    <row r="72" spans="1:27" hidden="1"/>
    <row r="73" spans="1:27" hidden="1"/>
    <row r="74" spans="1:27" hidden="1"/>
    <row r="75" spans="1:27" hidden="1"/>
    <row r="76" spans="1:27" hidden="1"/>
    <row r="77" spans="1:27" hidden="1"/>
    <row r="78" spans="1:27" hidden="1"/>
    <row r="79" spans="1:27" hidden="1"/>
    <row r="80" spans="1:27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3" hidden="1"/>
    <row r="98" spans="1:3" hidden="1"/>
    <row r="99" spans="1:3" hidden="1"/>
    <row r="100" spans="1:3" hidden="1"/>
    <row r="101" spans="1:3" hidden="1"/>
    <row r="103" spans="1:3">
      <c r="A103" s="59" t="s">
        <v>88</v>
      </c>
      <c r="B103" s="159">
        <f>SUM(B5:B71)</f>
        <v>500.565</v>
      </c>
      <c r="C103" s="160"/>
    </row>
    <row r="104" spans="1:3" hidden="1">
      <c r="A104" s="5" t="s">
        <v>311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&amp;A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X50" sqref="X50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1" t="s">
        <v>300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3"/>
    </row>
    <row r="2" spans="1:29" s="3" customFormat="1">
      <c r="A2" s="5"/>
      <c r="F2" s="154" t="s">
        <v>9</v>
      </c>
      <c r="G2" s="154"/>
      <c r="H2" s="154" t="s">
        <v>12</v>
      </c>
      <c r="I2" s="154"/>
      <c r="J2" s="154" t="s">
        <v>13</v>
      </c>
      <c r="K2" s="154"/>
      <c r="L2" s="154" t="s">
        <v>14</v>
      </c>
      <c r="M2" s="154"/>
      <c r="N2" s="154" t="s">
        <v>142</v>
      </c>
      <c r="O2" s="154"/>
      <c r="P2" s="154" t="s">
        <v>143</v>
      </c>
      <c r="Q2" s="154"/>
      <c r="R2" s="154" t="s">
        <v>144</v>
      </c>
      <c r="S2" s="154"/>
      <c r="T2" s="154" t="s">
        <v>145</v>
      </c>
      <c r="U2" s="154"/>
      <c r="V2" s="154" t="s">
        <v>146</v>
      </c>
      <c r="W2" s="154"/>
      <c r="X2" s="154" t="s">
        <v>147</v>
      </c>
      <c r="Y2" s="154"/>
      <c r="Z2" s="154" t="s">
        <v>148</v>
      </c>
      <c r="AA2" s="154"/>
      <c r="AB2" s="154" t="s">
        <v>23</v>
      </c>
      <c r="AC2" s="154"/>
    </row>
    <row r="3" spans="1:29" ht="45" customHeight="1">
      <c r="A3" s="1"/>
      <c r="B3" s="30" t="s">
        <v>98</v>
      </c>
      <c r="C3" s="30" t="s">
        <v>100</v>
      </c>
      <c r="D3" s="30" t="s">
        <v>101</v>
      </c>
      <c r="E3" s="30" t="s">
        <v>99</v>
      </c>
      <c r="F3" s="33" t="s">
        <v>10</v>
      </c>
      <c r="G3" s="33" t="s">
        <v>11</v>
      </c>
      <c r="H3" s="33" t="s">
        <v>10</v>
      </c>
      <c r="I3" s="33" t="s">
        <v>11</v>
      </c>
      <c r="J3" s="33" t="s">
        <v>10</v>
      </c>
      <c r="K3" s="33" t="s">
        <v>11</v>
      </c>
      <c r="L3" s="33" t="s">
        <v>10</v>
      </c>
      <c r="M3" s="33" t="s">
        <v>11</v>
      </c>
      <c r="N3" s="33" t="s">
        <v>10</v>
      </c>
      <c r="O3" s="33" t="s">
        <v>11</v>
      </c>
      <c r="P3" s="33" t="s">
        <v>10</v>
      </c>
      <c r="Q3" s="33" t="s">
        <v>11</v>
      </c>
      <c r="R3" s="33" t="s">
        <v>10</v>
      </c>
      <c r="S3" s="33" t="s">
        <v>11</v>
      </c>
      <c r="T3" s="33" t="s">
        <v>10</v>
      </c>
      <c r="U3" s="33" t="s">
        <v>11</v>
      </c>
      <c r="V3" s="33" t="s">
        <v>10</v>
      </c>
      <c r="W3" s="33" t="s">
        <v>11</v>
      </c>
      <c r="X3" s="33" t="s">
        <v>10</v>
      </c>
      <c r="Y3" s="33" t="s">
        <v>11</v>
      </c>
      <c r="Z3" s="33" t="s">
        <v>10</v>
      </c>
      <c r="AA3" s="33" t="s">
        <v>11</v>
      </c>
      <c r="AB3" s="33" t="s">
        <v>10</v>
      </c>
      <c r="AC3" s="33" t="s">
        <v>11</v>
      </c>
    </row>
    <row r="4" spans="1:29" s="82" customFormat="1">
      <c r="A4" s="57" t="s">
        <v>27</v>
      </c>
      <c r="B4" s="7">
        <v>0.4</v>
      </c>
      <c r="C4" s="7">
        <f>F4+H4+J4+L4+N4+P4</f>
        <v>8</v>
      </c>
      <c r="D4" s="99">
        <v>4</v>
      </c>
      <c r="E4" s="78">
        <f>C4+(B4*D4)</f>
        <v>9.6</v>
      </c>
      <c r="F4" s="78">
        <v>2</v>
      </c>
      <c r="G4" s="79">
        <v>1</v>
      </c>
      <c r="H4" s="78">
        <v>2</v>
      </c>
      <c r="I4" s="79">
        <v>1</v>
      </c>
      <c r="J4" s="78">
        <v>2</v>
      </c>
      <c r="K4" s="79">
        <v>1</v>
      </c>
      <c r="L4" s="78">
        <v>2</v>
      </c>
      <c r="M4" s="79">
        <v>1</v>
      </c>
      <c r="N4" s="63"/>
      <c r="O4" s="64"/>
      <c r="P4" s="63"/>
      <c r="Q4" s="64"/>
      <c r="R4" s="63"/>
      <c r="S4" s="64"/>
      <c r="T4" s="63"/>
      <c r="U4" s="64"/>
      <c r="V4" s="63"/>
      <c r="W4" s="64"/>
      <c r="X4" s="63"/>
      <c r="Y4" s="64"/>
      <c r="Z4" s="63"/>
      <c r="AA4" s="64"/>
      <c r="AB4" s="63"/>
      <c r="AC4" s="64"/>
    </row>
    <row r="5" spans="1:29" s="82" customFormat="1">
      <c r="A5" s="57" t="s">
        <v>28</v>
      </c>
      <c r="B5" s="7">
        <v>0.4</v>
      </c>
      <c r="C5" s="7">
        <f t="shared" ref="C5:C12" si="0">F5+H5+J5+L5+N5+P5</f>
        <v>11.75</v>
      </c>
      <c r="D5" s="99">
        <v>7</v>
      </c>
      <c r="E5" s="78">
        <f t="shared" ref="E5:E12" si="1">C5+(B5*D5)</f>
        <v>14.55</v>
      </c>
      <c r="F5" s="78">
        <v>1</v>
      </c>
      <c r="G5" s="79">
        <v>0.8</v>
      </c>
      <c r="H5" s="78">
        <v>2.75</v>
      </c>
      <c r="I5" s="79">
        <v>1</v>
      </c>
      <c r="J5" s="78">
        <v>1</v>
      </c>
      <c r="K5" s="79">
        <v>0.8</v>
      </c>
      <c r="L5" s="78">
        <v>3</v>
      </c>
      <c r="M5" s="79">
        <v>1</v>
      </c>
      <c r="N5" s="78">
        <v>1</v>
      </c>
      <c r="O5" s="79">
        <v>0.8</v>
      </c>
      <c r="P5" s="78">
        <v>3</v>
      </c>
      <c r="Q5" s="79">
        <v>1</v>
      </c>
      <c r="R5" s="78">
        <v>3</v>
      </c>
      <c r="S5" s="79">
        <v>1</v>
      </c>
      <c r="T5" s="63"/>
      <c r="U5" s="64"/>
      <c r="V5" s="63"/>
      <c r="W5" s="64"/>
      <c r="X5" s="63"/>
      <c r="Y5" s="64"/>
      <c r="Z5" s="63"/>
      <c r="AA5" s="64"/>
      <c r="AB5" s="63"/>
      <c r="AC5" s="64"/>
    </row>
    <row r="6" spans="1:29" s="82" customFormat="1">
      <c r="A6" s="57" t="s">
        <v>32</v>
      </c>
      <c r="B6" s="7">
        <v>0.4</v>
      </c>
      <c r="C6" s="7">
        <f t="shared" si="0"/>
        <v>5.5</v>
      </c>
      <c r="D6" s="99">
        <v>2</v>
      </c>
      <c r="E6" s="78">
        <f t="shared" si="1"/>
        <v>6.3</v>
      </c>
      <c r="F6" s="78">
        <v>2.75</v>
      </c>
      <c r="G6" s="79">
        <v>1</v>
      </c>
      <c r="H6" s="78">
        <v>2.75</v>
      </c>
      <c r="I6" s="79">
        <v>1</v>
      </c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</row>
    <row r="7" spans="1:29" s="82" customFormat="1">
      <c r="A7" s="57" t="s">
        <v>52</v>
      </c>
      <c r="B7" s="7">
        <v>0.4</v>
      </c>
      <c r="C7" s="7">
        <f t="shared" si="0"/>
        <v>13.9</v>
      </c>
      <c r="D7" s="99">
        <v>1</v>
      </c>
      <c r="E7" s="78">
        <f t="shared" si="1"/>
        <v>14.3</v>
      </c>
      <c r="F7" s="78">
        <v>13.9</v>
      </c>
      <c r="G7" s="79">
        <v>1</v>
      </c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</row>
    <row r="8" spans="1:29" s="82" customFormat="1">
      <c r="A8" s="57" t="s">
        <v>55</v>
      </c>
      <c r="B8" s="7">
        <v>0.4</v>
      </c>
      <c r="C8" s="7">
        <f t="shared" si="0"/>
        <v>4.1500000000000004</v>
      </c>
      <c r="D8" s="99">
        <v>1</v>
      </c>
      <c r="E8" s="78">
        <f t="shared" si="1"/>
        <v>4.5500000000000007</v>
      </c>
      <c r="F8" s="78">
        <v>4.1500000000000004</v>
      </c>
      <c r="G8" s="79">
        <v>1</v>
      </c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</row>
    <row r="9" spans="1:29" s="82" customFormat="1">
      <c r="A9" s="57" t="s">
        <v>131</v>
      </c>
      <c r="B9" s="7">
        <v>0.4</v>
      </c>
      <c r="C9" s="7">
        <f t="shared" si="0"/>
        <v>10.45</v>
      </c>
      <c r="D9" s="99">
        <v>2</v>
      </c>
      <c r="E9" s="78">
        <f t="shared" si="1"/>
        <v>11.25</v>
      </c>
      <c r="F9" s="78">
        <v>7.1</v>
      </c>
      <c r="G9" s="79">
        <v>1</v>
      </c>
      <c r="H9" s="78">
        <v>3.35</v>
      </c>
      <c r="I9" s="79">
        <v>1</v>
      </c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</row>
    <row r="10" spans="1:29" s="82" customFormat="1" ht="15.75" thickBot="1">
      <c r="A10" s="57" t="s">
        <v>132</v>
      </c>
      <c r="B10" s="7">
        <v>0.4</v>
      </c>
      <c r="C10" s="7">
        <f t="shared" si="0"/>
        <v>11.55</v>
      </c>
      <c r="D10" s="99">
        <v>1</v>
      </c>
      <c r="E10" s="78">
        <f t="shared" si="1"/>
        <v>11.950000000000001</v>
      </c>
      <c r="F10" s="78">
        <v>11.55</v>
      </c>
      <c r="G10" s="79">
        <v>1</v>
      </c>
      <c r="H10" s="63"/>
      <c r="I10" s="64"/>
      <c r="J10" s="63"/>
      <c r="K10" s="64"/>
      <c r="L10" s="63"/>
      <c r="M10" s="64"/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</row>
    <row r="11" spans="1:29" s="82" customFormat="1">
      <c r="A11" s="92" t="s">
        <v>56</v>
      </c>
      <c r="B11" s="93">
        <v>0.4</v>
      </c>
      <c r="C11" s="93">
        <f t="shared" si="0"/>
        <v>6</v>
      </c>
      <c r="D11" s="100">
        <v>3</v>
      </c>
      <c r="E11" s="95">
        <f t="shared" si="1"/>
        <v>7.2</v>
      </c>
      <c r="F11" s="95">
        <v>2</v>
      </c>
      <c r="G11" s="96">
        <v>1</v>
      </c>
      <c r="H11" s="95">
        <v>2</v>
      </c>
      <c r="I11" s="96">
        <v>1</v>
      </c>
      <c r="J11" s="95">
        <v>2</v>
      </c>
      <c r="K11" s="96">
        <v>1</v>
      </c>
      <c r="L11" s="97"/>
      <c r="M11" s="98"/>
      <c r="N11" s="97"/>
      <c r="O11" s="98"/>
      <c r="P11" s="97"/>
      <c r="Q11" s="98"/>
      <c r="R11" s="97"/>
      <c r="S11" s="98"/>
      <c r="T11" s="97"/>
      <c r="U11" s="98"/>
      <c r="V11" s="97"/>
      <c r="W11" s="98"/>
      <c r="X11" s="97"/>
      <c r="Y11" s="98"/>
      <c r="Z11" s="97"/>
      <c r="AA11" s="98"/>
      <c r="AB11" s="97"/>
      <c r="AC11" s="98"/>
    </row>
    <row r="12" spans="1:29" s="82" customFormat="1">
      <c r="A12" s="57" t="s">
        <v>139</v>
      </c>
      <c r="B12" s="7">
        <v>0.4</v>
      </c>
      <c r="C12" s="7">
        <f t="shared" si="0"/>
        <v>7.75</v>
      </c>
      <c r="D12" s="99">
        <v>1</v>
      </c>
      <c r="E12" s="78">
        <f t="shared" si="1"/>
        <v>8.15</v>
      </c>
      <c r="F12" s="78">
        <v>7.75</v>
      </c>
      <c r="G12" s="79">
        <v>9.5</v>
      </c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</row>
    <row r="13" spans="1:29" ht="15" customHeight="1"/>
    <row r="14" spans="1:29">
      <c r="A14" s="45" t="s">
        <v>149</v>
      </c>
      <c r="B14" s="159">
        <f>SUM(E4:E12)</f>
        <v>87.850000000000009</v>
      </c>
      <c r="C14" s="160"/>
    </row>
    <row r="15" spans="1:29" hidden="1"/>
    <row r="16" spans="1:29" hidden="1"/>
    <row r="17" ht="5.0999999999999996" hidden="1" customHeight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6" spans="1:3">
      <c r="A36" s="45" t="s">
        <v>150</v>
      </c>
      <c r="B36" s="161">
        <f>B14*(0.15*0.19)</f>
        <v>2.5037250000000002</v>
      </c>
      <c r="C36" s="162"/>
    </row>
    <row r="37" spans="1:3" hidden="1">
      <c r="A37" s="5" t="s">
        <v>312</v>
      </c>
      <c r="B37" s="47"/>
      <c r="C37" s="47"/>
    </row>
    <row r="38" spans="1:3">
      <c r="A38" s="48" t="s">
        <v>151</v>
      </c>
    </row>
  </sheetData>
  <mergeCells count="15">
    <mergeCell ref="A1:AC1"/>
    <mergeCell ref="AB2:AC2"/>
    <mergeCell ref="B36:C36"/>
    <mergeCell ref="R2:S2"/>
    <mergeCell ref="T2:U2"/>
    <mergeCell ref="V2:W2"/>
    <mergeCell ref="X2:Y2"/>
    <mergeCell ref="Z2:AA2"/>
    <mergeCell ref="N2:O2"/>
    <mergeCell ref="P2:Q2"/>
    <mergeCell ref="B14:C14"/>
    <mergeCell ref="F2:G2"/>
    <mergeCell ref="H2:I2"/>
    <mergeCell ref="J2:K2"/>
    <mergeCell ref="L2:M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C38"/>
  <sheetViews>
    <sheetView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1" t="s">
        <v>301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3"/>
    </row>
    <row r="2" spans="1:29" s="3" customFormat="1">
      <c r="A2" s="5"/>
      <c r="F2" s="154" t="s">
        <v>9</v>
      </c>
      <c r="G2" s="154"/>
      <c r="H2" s="154" t="s">
        <v>12</v>
      </c>
      <c r="I2" s="154"/>
      <c r="J2" s="154" t="s">
        <v>13</v>
      </c>
      <c r="K2" s="154"/>
      <c r="L2" s="154" t="s">
        <v>14</v>
      </c>
      <c r="M2" s="154"/>
      <c r="N2" s="154" t="s">
        <v>142</v>
      </c>
      <c r="O2" s="154"/>
      <c r="P2" s="154" t="s">
        <v>143</v>
      </c>
      <c r="Q2" s="154"/>
      <c r="R2" s="154" t="s">
        <v>144</v>
      </c>
      <c r="S2" s="154"/>
      <c r="T2" s="154" t="s">
        <v>145</v>
      </c>
      <c r="U2" s="154"/>
      <c r="V2" s="154" t="s">
        <v>146</v>
      </c>
      <c r="W2" s="154"/>
      <c r="X2" s="154" t="s">
        <v>147</v>
      </c>
      <c r="Y2" s="154"/>
      <c r="Z2" s="154" t="s">
        <v>148</v>
      </c>
      <c r="AA2" s="154"/>
      <c r="AB2" s="154" t="s">
        <v>23</v>
      </c>
      <c r="AC2" s="154"/>
    </row>
    <row r="3" spans="1:29" ht="45" customHeight="1">
      <c r="A3" s="1"/>
      <c r="B3" s="30" t="s">
        <v>98</v>
      </c>
      <c r="C3" s="30" t="s">
        <v>100</v>
      </c>
      <c r="D3" s="30" t="s">
        <v>101</v>
      </c>
      <c r="E3" s="30" t="s">
        <v>99</v>
      </c>
      <c r="F3" s="33" t="s">
        <v>10</v>
      </c>
      <c r="G3" s="33" t="s">
        <v>11</v>
      </c>
      <c r="H3" s="33" t="s">
        <v>10</v>
      </c>
      <c r="I3" s="33" t="s">
        <v>11</v>
      </c>
      <c r="J3" s="33" t="s">
        <v>10</v>
      </c>
      <c r="K3" s="33" t="s">
        <v>11</v>
      </c>
      <c r="L3" s="33" t="s">
        <v>10</v>
      </c>
      <c r="M3" s="33" t="s">
        <v>11</v>
      </c>
      <c r="N3" s="33" t="s">
        <v>10</v>
      </c>
      <c r="O3" s="33" t="s">
        <v>11</v>
      </c>
      <c r="P3" s="33" t="s">
        <v>10</v>
      </c>
      <c r="Q3" s="33" t="s">
        <v>11</v>
      </c>
      <c r="R3" s="33" t="s">
        <v>10</v>
      </c>
      <c r="S3" s="33" t="s">
        <v>11</v>
      </c>
      <c r="T3" s="33" t="s">
        <v>10</v>
      </c>
      <c r="U3" s="33" t="s">
        <v>11</v>
      </c>
      <c r="V3" s="33" t="s">
        <v>10</v>
      </c>
      <c r="W3" s="33" t="s">
        <v>11</v>
      </c>
      <c r="X3" s="33" t="s">
        <v>10</v>
      </c>
      <c r="Y3" s="33" t="s">
        <v>11</v>
      </c>
      <c r="Z3" s="33" t="s">
        <v>10</v>
      </c>
      <c r="AA3" s="33" t="s">
        <v>11</v>
      </c>
      <c r="AB3" s="33" t="s">
        <v>10</v>
      </c>
      <c r="AC3" s="33" t="s">
        <v>11</v>
      </c>
    </row>
    <row r="4" spans="1:29" s="82" customFormat="1">
      <c r="A4" s="57" t="s">
        <v>27</v>
      </c>
      <c r="B4" s="7">
        <v>0.4</v>
      </c>
      <c r="C4" s="7">
        <f>F4+H4+J4+L4+N4+P4</f>
        <v>8</v>
      </c>
      <c r="D4" s="99">
        <v>4</v>
      </c>
      <c r="E4" s="78">
        <f>C4+(B4*D4)</f>
        <v>9.6</v>
      </c>
      <c r="F4" s="78">
        <v>2</v>
      </c>
      <c r="G4" s="79">
        <v>1</v>
      </c>
      <c r="H4" s="78">
        <v>2</v>
      </c>
      <c r="I4" s="79">
        <v>1</v>
      </c>
      <c r="J4" s="78">
        <v>2</v>
      </c>
      <c r="K4" s="79">
        <v>1</v>
      </c>
      <c r="L4" s="78">
        <v>2</v>
      </c>
      <c r="M4" s="79">
        <v>1</v>
      </c>
      <c r="N4" s="63"/>
      <c r="O4" s="64"/>
      <c r="P4" s="63"/>
      <c r="Q4" s="64"/>
      <c r="R4" s="63"/>
      <c r="S4" s="64"/>
      <c r="T4" s="63"/>
      <c r="U4" s="64"/>
      <c r="V4" s="63"/>
      <c r="W4" s="64"/>
      <c r="X4" s="63"/>
      <c r="Y4" s="64"/>
      <c r="Z4" s="63"/>
      <c r="AA4" s="64"/>
      <c r="AB4" s="63"/>
      <c r="AC4" s="64"/>
    </row>
    <row r="5" spans="1:29" s="82" customFormat="1">
      <c r="A5" s="57" t="s">
        <v>28</v>
      </c>
      <c r="B5" s="7">
        <v>0.4</v>
      </c>
      <c r="C5" s="7">
        <f t="shared" ref="C5:C12" si="0">F5+H5+J5+L5+N5+P5</f>
        <v>11.75</v>
      </c>
      <c r="D5" s="99">
        <v>7</v>
      </c>
      <c r="E5" s="78">
        <f t="shared" ref="E5:E12" si="1">C5+(B5*D5)</f>
        <v>14.55</v>
      </c>
      <c r="F5" s="78">
        <v>1</v>
      </c>
      <c r="G5" s="79">
        <v>0.8</v>
      </c>
      <c r="H5" s="78">
        <v>2.75</v>
      </c>
      <c r="I5" s="79">
        <v>1</v>
      </c>
      <c r="J5" s="78">
        <v>1</v>
      </c>
      <c r="K5" s="79">
        <v>0.8</v>
      </c>
      <c r="L5" s="78">
        <v>3</v>
      </c>
      <c r="M5" s="79">
        <v>1</v>
      </c>
      <c r="N5" s="78">
        <v>1</v>
      </c>
      <c r="O5" s="79">
        <v>0.8</v>
      </c>
      <c r="P5" s="78">
        <v>3</v>
      </c>
      <c r="Q5" s="79">
        <v>1</v>
      </c>
      <c r="R5" s="78">
        <v>3</v>
      </c>
      <c r="S5" s="79">
        <v>1</v>
      </c>
      <c r="T5" s="63"/>
      <c r="U5" s="64"/>
      <c r="V5" s="63"/>
      <c r="W5" s="64"/>
      <c r="X5" s="63"/>
      <c r="Y5" s="64"/>
      <c r="Z5" s="63"/>
      <c r="AA5" s="64"/>
      <c r="AB5" s="63"/>
      <c r="AC5" s="64"/>
    </row>
    <row r="6" spans="1:29" s="82" customFormat="1">
      <c r="A6" s="57" t="s">
        <v>32</v>
      </c>
      <c r="B6" s="7">
        <v>0.4</v>
      </c>
      <c r="C6" s="7">
        <f t="shared" si="0"/>
        <v>5.5</v>
      </c>
      <c r="D6" s="99">
        <v>2</v>
      </c>
      <c r="E6" s="78">
        <f t="shared" si="1"/>
        <v>6.3</v>
      </c>
      <c r="F6" s="78">
        <v>2.75</v>
      </c>
      <c r="G6" s="79">
        <v>1</v>
      </c>
      <c r="H6" s="78">
        <v>2.75</v>
      </c>
      <c r="I6" s="79">
        <v>1</v>
      </c>
      <c r="J6" s="63"/>
      <c r="K6" s="64"/>
      <c r="L6" s="63"/>
      <c r="M6" s="64"/>
      <c r="N6" s="63"/>
      <c r="O6" s="64"/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</row>
    <row r="7" spans="1:29" s="82" customFormat="1">
      <c r="A7" s="57" t="s">
        <v>52</v>
      </c>
      <c r="B7" s="7">
        <v>0.4</v>
      </c>
      <c r="C7" s="7">
        <f t="shared" si="0"/>
        <v>13.9</v>
      </c>
      <c r="D7" s="99">
        <v>1</v>
      </c>
      <c r="E7" s="78">
        <f t="shared" si="1"/>
        <v>14.3</v>
      </c>
      <c r="F7" s="78">
        <v>13.9</v>
      </c>
      <c r="G7" s="79">
        <v>1</v>
      </c>
      <c r="H7" s="63"/>
      <c r="I7" s="64"/>
      <c r="J7" s="6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</row>
    <row r="8" spans="1:29" s="82" customFormat="1">
      <c r="A8" s="57" t="s">
        <v>55</v>
      </c>
      <c r="B8" s="7">
        <v>0.4</v>
      </c>
      <c r="C8" s="7">
        <f t="shared" si="0"/>
        <v>4.1500000000000004</v>
      </c>
      <c r="D8" s="99">
        <v>1</v>
      </c>
      <c r="E8" s="78">
        <f t="shared" si="1"/>
        <v>4.5500000000000007</v>
      </c>
      <c r="F8" s="78">
        <v>4.1500000000000004</v>
      </c>
      <c r="G8" s="79">
        <v>1</v>
      </c>
      <c r="H8" s="63"/>
      <c r="I8" s="64"/>
      <c r="J8" s="63"/>
      <c r="K8" s="64"/>
      <c r="L8" s="63"/>
      <c r="M8" s="64"/>
      <c r="N8" s="63"/>
      <c r="O8" s="64"/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</row>
    <row r="9" spans="1:29" s="82" customFormat="1">
      <c r="A9" s="57" t="s">
        <v>131</v>
      </c>
      <c r="B9" s="7">
        <v>0.4</v>
      </c>
      <c r="C9" s="7">
        <f t="shared" si="0"/>
        <v>10.45</v>
      </c>
      <c r="D9" s="99">
        <v>2</v>
      </c>
      <c r="E9" s="78">
        <f t="shared" si="1"/>
        <v>11.25</v>
      </c>
      <c r="F9" s="78">
        <v>7.1</v>
      </c>
      <c r="G9" s="79">
        <v>1</v>
      </c>
      <c r="H9" s="78">
        <v>3.35</v>
      </c>
      <c r="I9" s="79">
        <v>1</v>
      </c>
      <c r="J9" s="63"/>
      <c r="K9" s="64"/>
      <c r="L9" s="63"/>
      <c r="M9" s="64"/>
      <c r="N9" s="63"/>
      <c r="O9" s="64"/>
      <c r="P9" s="63"/>
      <c r="Q9" s="64"/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</row>
    <row r="10" spans="1:29" s="82" customFormat="1" ht="15.75" thickBot="1">
      <c r="A10" s="57" t="s">
        <v>132</v>
      </c>
      <c r="B10" s="7">
        <v>0.4</v>
      </c>
      <c r="C10" s="7">
        <f t="shared" si="0"/>
        <v>11.55</v>
      </c>
      <c r="D10" s="99">
        <v>1</v>
      </c>
      <c r="E10" s="78">
        <f t="shared" si="1"/>
        <v>11.950000000000001</v>
      </c>
      <c r="F10" s="78">
        <v>11.55</v>
      </c>
      <c r="G10" s="79">
        <v>1</v>
      </c>
      <c r="H10" s="63"/>
      <c r="I10" s="64"/>
      <c r="J10" s="63"/>
      <c r="K10" s="64"/>
      <c r="L10" s="63"/>
      <c r="M10" s="64"/>
      <c r="N10" s="63"/>
      <c r="O10" s="64"/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</row>
    <row r="11" spans="1:29" s="82" customFormat="1">
      <c r="A11" s="92" t="s">
        <v>56</v>
      </c>
      <c r="B11" s="93">
        <v>0.4</v>
      </c>
      <c r="C11" s="93">
        <f t="shared" si="0"/>
        <v>6</v>
      </c>
      <c r="D11" s="100">
        <v>3</v>
      </c>
      <c r="E11" s="95">
        <f t="shared" si="1"/>
        <v>7.2</v>
      </c>
      <c r="F11" s="95">
        <v>2</v>
      </c>
      <c r="G11" s="96">
        <v>1</v>
      </c>
      <c r="H11" s="95">
        <v>2</v>
      </c>
      <c r="I11" s="96">
        <v>1</v>
      </c>
      <c r="J11" s="95">
        <v>2</v>
      </c>
      <c r="K11" s="96">
        <v>1</v>
      </c>
      <c r="L11" s="97"/>
      <c r="M11" s="98"/>
      <c r="N11" s="97"/>
      <c r="O11" s="98"/>
      <c r="P11" s="97"/>
      <c r="Q11" s="98"/>
      <c r="R11" s="97"/>
      <c r="S11" s="98"/>
      <c r="T11" s="97"/>
      <c r="U11" s="98"/>
      <c r="V11" s="97"/>
      <c r="W11" s="98"/>
      <c r="X11" s="97"/>
      <c r="Y11" s="98"/>
      <c r="Z11" s="97"/>
      <c r="AA11" s="98"/>
      <c r="AB11" s="97"/>
      <c r="AC11" s="98"/>
    </row>
    <row r="12" spans="1:29" s="82" customFormat="1">
      <c r="A12" s="57" t="s">
        <v>139</v>
      </c>
      <c r="B12" s="7">
        <v>0.4</v>
      </c>
      <c r="C12" s="7">
        <f t="shared" si="0"/>
        <v>7.75</v>
      </c>
      <c r="D12" s="99">
        <v>1</v>
      </c>
      <c r="E12" s="78">
        <f t="shared" si="1"/>
        <v>8.15</v>
      </c>
      <c r="F12" s="78">
        <v>7.75</v>
      </c>
      <c r="G12" s="79">
        <v>9.5</v>
      </c>
      <c r="H12" s="63"/>
      <c r="I12" s="64"/>
      <c r="J12" s="63"/>
      <c r="K12" s="64"/>
      <c r="L12" s="63"/>
      <c r="M12" s="64"/>
      <c r="N12" s="63"/>
      <c r="O12" s="64"/>
      <c r="P12" s="63"/>
      <c r="Q12" s="64"/>
      <c r="R12" s="63"/>
      <c r="S12" s="64"/>
      <c r="T12" s="63"/>
      <c r="U12" s="64"/>
      <c r="V12" s="63"/>
      <c r="W12" s="64"/>
      <c r="X12" s="63"/>
      <c r="Y12" s="64"/>
      <c r="Z12" s="63"/>
      <c r="AA12" s="64"/>
      <c r="AB12" s="63"/>
      <c r="AC12" s="64"/>
    </row>
    <row r="13" spans="1:29" ht="15" customHeight="1"/>
    <row r="14" spans="1:29">
      <c r="A14" s="74" t="s">
        <v>149</v>
      </c>
      <c r="B14" s="159">
        <f>SUM(E4:E12)</f>
        <v>87.850000000000009</v>
      </c>
      <c r="C14" s="160"/>
    </row>
    <row r="15" spans="1:29" hidden="1"/>
    <row r="16" spans="1:29" hidden="1"/>
    <row r="17" ht="5.0999999999999996" hidden="1" customHeight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6" spans="1:3">
      <c r="A36" s="74" t="s">
        <v>150</v>
      </c>
      <c r="B36" s="161">
        <f>B14*(0.15*0.19)</f>
        <v>2.5037250000000002</v>
      </c>
      <c r="C36" s="162"/>
    </row>
    <row r="37" spans="1:3" hidden="1">
      <c r="A37" s="5" t="s">
        <v>313</v>
      </c>
      <c r="B37" s="47"/>
      <c r="C37" s="47"/>
    </row>
    <row r="38" spans="1:3">
      <c r="A38" s="48" t="s">
        <v>151</v>
      </c>
    </row>
  </sheetData>
  <mergeCells count="15">
    <mergeCell ref="A1:AC1"/>
    <mergeCell ref="B14:C14"/>
    <mergeCell ref="B36:C36"/>
    <mergeCell ref="R2:S2"/>
    <mergeCell ref="T2:U2"/>
    <mergeCell ref="V2:W2"/>
    <mergeCell ref="X2:Y2"/>
    <mergeCell ref="Z2:AA2"/>
    <mergeCell ref="AB2:AC2"/>
    <mergeCell ref="F2:G2"/>
    <mergeCell ref="H2:I2"/>
    <mergeCell ref="J2:K2"/>
    <mergeCell ref="L2:M2"/>
    <mergeCell ref="N2:O2"/>
    <mergeCell ref="P2:Q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S50"/>
  <sheetViews>
    <sheetView zoomScale="85" zoomScaleNormal="85" zoomScaleSheetLayoutView="85" workbookViewId="0">
      <selection activeCell="A50" sqref="A50:XFD50"/>
    </sheetView>
  </sheetViews>
  <sheetFormatPr defaultRowHeight="15"/>
  <cols>
    <col min="1" max="1" width="20.7109375" style="5" customWidth="1"/>
    <col min="2" max="5" width="10.7109375" style="5" customWidth="1"/>
    <col min="6" max="13" width="7.7109375" style="5" customWidth="1"/>
    <col min="14" max="14" width="15.7109375" style="5" customWidth="1"/>
    <col min="15" max="17" width="9.140625" style="5"/>
    <col min="18" max="18" width="15.7109375" style="5" customWidth="1"/>
    <col min="19" max="16384" width="9.140625" style="5"/>
  </cols>
  <sheetData>
    <row r="1" spans="1:19">
      <c r="A1" s="154" t="s">
        <v>302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9" s="3" customFormat="1">
      <c r="A2" s="1"/>
      <c r="F2" s="154" t="s">
        <v>15</v>
      </c>
      <c r="G2" s="154"/>
      <c r="H2" s="154" t="s">
        <v>16</v>
      </c>
      <c r="I2" s="154"/>
      <c r="J2" s="154" t="s">
        <v>17</v>
      </c>
      <c r="K2" s="154"/>
      <c r="L2" s="154" t="s">
        <v>18</v>
      </c>
      <c r="M2" s="154"/>
    </row>
    <row r="3" spans="1:19" ht="30" customHeight="1">
      <c r="A3" s="1"/>
      <c r="B3" s="30" t="s">
        <v>98</v>
      </c>
      <c r="C3" s="30" t="s">
        <v>100</v>
      </c>
      <c r="D3" s="30" t="s">
        <v>102</v>
      </c>
      <c r="E3" s="30" t="s">
        <v>103</v>
      </c>
      <c r="F3" s="33" t="s">
        <v>10</v>
      </c>
      <c r="G3" s="33" t="s">
        <v>11</v>
      </c>
      <c r="H3" s="33" t="s">
        <v>10</v>
      </c>
      <c r="I3" s="33" t="s">
        <v>11</v>
      </c>
      <c r="J3" s="33" t="s">
        <v>10</v>
      </c>
      <c r="K3" s="33" t="s">
        <v>11</v>
      </c>
      <c r="L3" s="33" t="s">
        <v>10</v>
      </c>
      <c r="M3" s="33" t="s">
        <v>11</v>
      </c>
      <c r="N3" s="1"/>
      <c r="O3" s="1"/>
      <c r="P3" s="1"/>
      <c r="Q3" s="1"/>
      <c r="R3" s="1"/>
      <c r="S3" s="1"/>
    </row>
    <row r="4" spans="1:19" s="82" customFormat="1">
      <c r="A4" s="57" t="s">
        <v>32</v>
      </c>
      <c r="B4" s="7">
        <v>0.4</v>
      </c>
      <c r="C4" s="7">
        <f>F4+H4+J4+L4</f>
        <v>0.8</v>
      </c>
      <c r="D4" s="99">
        <v>1</v>
      </c>
      <c r="E4" s="78">
        <f>C4+(B4*D4)</f>
        <v>1.2000000000000002</v>
      </c>
      <c r="F4" s="78">
        <v>0.8</v>
      </c>
      <c r="G4" s="79">
        <v>2.1</v>
      </c>
      <c r="H4" s="63"/>
      <c r="I4" s="64"/>
      <c r="J4" s="63"/>
      <c r="K4" s="64"/>
      <c r="L4" s="63"/>
      <c r="M4" s="64"/>
      <c r="N4" s="83"/>
      <c r="O4" s="83"/>
      <c r="P4" s="83"/>
      <c r="Q4" s="83"/>
      <c r="R4" s="83"/>
      <c r="S4" s="83"/>
    </row>
    <row r="5" spans="1:19" s="82" customFormat="1">
      <c r="A5" s="57" t="s">
        <v>33</v>
      </c>
      <c r="B5" s="7">
        <v>0.4</v>
      </c>
      <c r="C5" s="7">
        <f>F5+H5+J5+L5</f>
        <v>1.05</v>
      </c>
      <c r="D5" s="99">
        <v>1</v>
      </c>
      <c r="E5" s="78">
        <f>C5+(B5*D5)</f>
        <v>1.4500000000000002</v>
      </c>
      <c r="F5" s="78">
        <v>1.05</v>
      </c>
      <c r="G5" s="79">
        <v>2.1</v>
      </c>
      <c r="H5" s="63"/>
      <c r="I5" s="64"/>
      <c r="J5" s="63"/>
      <c r="K5" s="64"/>
      <c r="L5" s="63"/>
      <c r="M5" s="64"/>
      <c r="N5" s="83"/>
      <c r="O5" s="83"/>
      <c r="P5" s="83"/>
      <c r="Q5" s="83"/>
      <c r="R5" s="83"/>
      <c r="S5" s="83"/>
    </row>
    <row r="6" spans="1:19" s="82" customFormat="1">
      <c r="A6" s="57" t="s">
        <v>35</v>
      </c>
      <c r="B6" s="7">
        <v>0.4</v>
      </c>
      <c r="C6" s="7">
        <f t="shared" ref="C6:C27" si="0">F6+H6+J6+L6</f>
        <v>0.8</v>
      </c>
      <c r="D6" s="99">
        <v>1</v>
      </c>
      <c r="E6" s="78">
        <f t="shared" ref="E6:E27" si="1">C6+(B6*D6)</f>
        <v>1.2000000000000002</v>
      </c>
      <c r="F6" s="78">
        <v>0.8</v>
      </c>
      <c r="G6" s="79">
        <v>2.1</v>
      </c>
      <c r="H6" s="63"/>
      <c r="I6" s="64"/>
      <c r="J6" s="63"/>
      <c r="K6" s="64"/>
      <c r="L6" s="63"/>
      <c r="M6" s="64"/>
      <c r="N6" s="83"/>
      <c r="O6" s="83"/>
      <c r="P6" s="83"/>
      <c r="Q6" s="83"/>
      <c r="R6" s="83"/>
      <c r="S6" s="83"/>
    </row>
    <row r="7" spans="1:19" s="82" customFormat="1">
      <c r="A7" s="57" t="s">
        <v>37</v>
      </c>
      <c r="B7" s="7">
        <v>0.4</v>
      </c>
      <c r="C7" s="7">
        <f t="shared" si="0"/>
        <v>1.56</v>
      </c>
      <c r="D7" s="99">
        <v>1</v>
      </c>
      <c r="E7" s="78">
        <f t="shared" si="1"/>
        <v>1.96</v>
      </c>
      <c r="F7" s="78">
        <v>1.56</v>
      </c>
      <c r="G7" s="79">
        <v>2.1</v>
      </c>
      <c r="H7" s="63"/>
      <c r="I7" s="64"/>
      <c r="J7" s="63"/>
      <c r="K7" s="64"/>
      <c r="L7" s="63"/>
      <c r="M7" s="64"/>
      <c r="N7" s="83"/>
      <c r="O7" s="83"/>
      <c r="P7" s="83"/>
      <c r="Q7" s="83"/>
      <c r="R7" s="83"/>
      <c r="S7" s="83"/>
    </row>
    <row r="8" spans="1:19" s="82" customFormat="1">
      <c r="A8" s="57" t="s">
        <v>41</v>
      </c>
      <c r="B8" s="7">
        <v>0.4</v>
      </c>
      <c r="C8" s="7">
        <f t="shared" si="0"/>
        <v>0.9</v>
      </c>
      <c r="D8" s="99">
        <v>1</v>
      </c>
      <c r="E8" s="78">
        <f t="shared" si="1"/>
        <v>1.3</v>
      </c>
      <c r="F8" s="78">
        <v>0.9</v>
      </c>
      <c r="G8" s="79">
        <v>2.1</v>
      </c>
      <c r="H8" s="63"/>
      <c r="I8" s="64"/>
      <c r="J8" s="63"/>
      <c r="K8" s="64"/>
      <c r="L8" s="63"/>
      <c r="M8" s="64"/>
      <c r="N8" s="83"/>
      <c r="O8" s="83"/>
      <c r="P8" s="83"/>
      <c r="Q8" s="83"/>
      <c r="R8" s="83"/>
      <c r="S8" s="83"/>
    </row>
    <row r="9" spans="1:19" s="82" customFormat="1">
      <c r="A9" s="57" t="s">
        <v>42</v>
      </c>
      <c r="B9" s="7">
        <v>0.4</v>
      </c>
      <c r="C9" s="7">
        <f t="shared" si="0"/>
        <v>4.4000000000000004</v>
      </c>
      <c r="D9" s="99">
        <v>2</v>
      </c>
      <c r="E9" s="78">
        <f t="shared" si="1"/>
        <v>5.2</v>
      </c>
      <c r="F9" s="78">
        <v>2.2000000000000002</v>
      </c>
      <c r="G9" s="79">
        <v>2.1</v>
      </c>
      <c r="H9" s="78">
        <v>2.2000000000000002</v>
      </c>
      <c r="I9" s="79">
        <v>2.1</v>
      </c>
      <c r="J9" s="63"/>
      <c r="K9" s="64"/>
      <c r="L9" s="63"/>
      <c r="M9" s="64"/>
      <c r="N9" s="83"/>
      <c r="O9" s="83"/>
      <c r="P9" s="83"/>
      <c r="Q9" s="83"/>
      <c r="R9" s="83"/>
      <c r="S9" s="83"/>
    </row>
    <row r="10" spans="1:19" s="82" customFormat="1">
      <c r="A10" s="57" t="s">
        <v>43</v>
      </c>
      <c r="B10" s="7">
        <v>0.4</v>
      </c>
      <c r="C10" s="7">
        <f t="shared" si="0"/>
        <v>1.6</v>
      </c>
      <c r="D10" s="99">
        <v>2</v>
      </c>
      <c r="E10" s="78">
        <f t="shared" si="1"/>
        <v>2.4000000000000004</v>
      </c>
      <c r="F10" s="78">
        <v>0.8</v>
      </c>
      <c r="G10" s="79">
        <v>2.1</v>
      </c>
      <c r="H10" s="78">
        <v>0.8</v>
      </c>
      <c r="I10" s="79">
        <v>2.1</v>
      </c>
      <c r="J10" s="63"/>
      <c r="K10" s="64"/>
      <c r="L10" s="63"/>
      <c r="M10" s="64"/>
      <c r="N10" s="83"/>
      <c r="O10" s="83"/>
      <c r="P10" s="83"/>
      <c r="Q10" s="83"/>
      <c r="R10" s="83"/>
      <c r="S10" s="83"/>
    </row>
    <row r="11" spans="1:19" s="82" customFormat="1">
      <c r="A11" s="57" t="s">
        <v>44</v>
      </c>
      <c r="B11" s="7">
        <v>0.4</v>
      </c>
      <c r="C11" s="7">
        <f t="shared" si="0"/>
        <v>2.1</v>
      </c>
      <c r="D11" s="99">
        <v>1</v>
      </c>
      <c r="E11" s="78">
        <f t="shared" si="1"/>
        <v>2.5</v>
      </c>
      <c r="F11" s="78">
        <v>2.1</v>
      </c>
      <c r="G11" s="79">
        <v>2.1</v>
      </c>
      <c r="H11" s="63"/>
      <c r="I11" s="64"/>
      <c r="J11" s="63"/>
      <c r="K11" s="64"/>
      <c r="L11" s="63"/>
      <c r="M11" s="64"/>
      <c r="N11" s="83"/>
      <c r="O11" s="83"/>
      <c r="P11" s="83"/>
      <c r="Q11" s="83"/>
      <c r="R11" s="83"/>
      <c r="S11" s="83"/>
    </row>
    <row r="12" spans="1:19" s="82" customFormat="1">
      <c r="A12" s="85" t="s">
        <v>45</v>
      </c>
      <c r="B12" s="7">
        <v>0.4</v>
      </c>
      <c r="C12" s="7">
        <f t="shared" si="0"/>
        <v>5.4</v>
      </c>
      <c r="D12" s="101">
        <v>4</v>
      </c>
      <c r="E12" s="78">
        <f t="shared" si="1"/>
        <v>7</v>
      </c>
      <c r="F12" s="78">
        <v>1.1000000000000001</v>
      </c>
      <c r="G12" s="79">
        <v>2.1</v>
      </c>
      <c r="H12" s="78">
        <v>1.1000000000000001</v>
      </c>
      <c r="I12" s="79">
        <v>2.1</v>
      </c>
      <c r="J12" s="78">
        <v>2.1</v>
      </c>
      <c r="K12" s="79">
        <v>2.1</v>
      </c>
      <c r="L12" s="78">
        <v>1.1000000000000001</v>
      </c>
      <c r="M12" s="79">
        <v>2.1</v>
      </c>
      <c r="N12" s="83"/>
      <c r="O12" s="83"/>
      <c r="P12" s="83"/>
      <c r="Q12" s="83"/>
      <c r="R12" s="83"/>
      <c r="S12" s="83"/>
    </row>
    <row r="13" spans="1:19" s="82" customFormat="1">
      <c r="A13" s="85" t="s">
        <v>46</v>
      </c>
      <c r="B13" s="7">
        <v>0.4</v>
      </c>
      <c r="C13" s="7">
        <f t="shared" si="0"/>
        <v>2.1</v>
      </c>
      <c r="D13" s="101">
        <v>1</v>
      </c>
      <c r="E13" s="78">
        <f t="shared" si="1"/>
        <v>2.5</v>
      </c>
      <c r="F13" s="78">
        <v>2.1</v>
      </c>
      <c r="G13" s="79">
        <v>2.1</v>
      </c>
      <c r="H13" s="63"/>
      <c r="I13" s="64"/>
      <c r="J13" s="63"/>
      <c r="K13" s="64"/>
      <c r="L13" s="63"/>
      <c r="M13" s="64"/>
      <c r="N13" s="83"/>
      <c r="O13" s="83"/>
      <c r="P13" s="83"/>
      <c r="Q13" s="83"/>
      <c r="R13" s="83"/>
      <c r="S13" s="83"/>
    </row>
    <row r="14" spans="1:19" s="82" customFormat="1">
      <c r="A14" s="85" t="s">
        <v>51</v>
      </c>
      <c r="B14" s="7">
        <v>0.4</v>
      </c>
      <c r="C14" s="7">
        <f t="shared" si="0"/>
        <v>1.8</v>
      </c>
      <c r="D14" s="101">
        <v>2</v>
      </c>
      <c r="E14" s="78">
        <f t="shared" si="1"/>
        <v>2.6</v>
      </c>
      <c r="F14" s="78">
        <v>0.9</v>
      </c>
      <c r="G14" s="79">
        <v>2.1</v>
      </c>
      <c r="H14" s="78">
        <v>0.9</v>
      </c>
      <c r="I14" s="79">
        <v>2.1</v>
      </c>
      <c r="J14" s="102"/>
      <c r="K14" s="103"/>
      <c r="L14" s="102"/>
      <c r="M14" s="103"/>
      <c r="N14" s="83"/>
      <c r="O14" s="83"/>
      <c r="P14" s="83"/>
      <c r="Q14" s="83"/>
      <c r="R14" s="83"/>
      <c r="S14" s="83"/>
    </row>
    <row r="15" spans="1:19" s="82" customFormat="1" ht="15.75" thickBot="1">
      <c r="A15" s="104" t="s">
        <v>53</v>
      </c>
      <c r="B15" s="105">
        <v>0.4</v>
      </c>
      <c r="C15" s="105">
        <f t="shared" si="0"/>
        <v>2.1</v>
      </c>
      <c r="D15" s="106">
        <v>1</v>
      </c>
      <c r="E15" s="107">
        <f t="shared" si="1"/>
        <v>2.5</v>
      </c>
      <c r="F15" s="107">
        <v>2.1</v>
      </c>
      <c r="G15" s="108">
        <v>2.1</v>
      </c>
      <c r="H15" s="109"/>
      <c r="I15" s="110"/>
      <c r="J15" s="109"/>
      <c r="K15" s="110"/>
      <c r="L15" s="109"/>
      <c r="M15" s="110"/>
      <c r="N15" s="83"/>
      <c r="O15" s="83"/>
      <c r="P15" s="83"/>
      <c r="Q15" s="83"/>
      <c r="R15" s="83"/>
      <c r="S15" s="83"/>
    </row>
    <row r="16" spans="1:19" s="82" customFormat="1">
      <c r="A16" s="92" t="s">
        <v>57</v>
      </c>
      <c r="B16" s="93">
        <v>0.4</v>
      </c>
      <c r="C16" s="93">
        <f t="shared" si="0"/>
        <v>2</v>
      </c>
      <c r="D16" s="100">
        <v>2</v>
      </c>
      <c r="E16" s="95">
        <f t="shared" si="1"/>
        <v>2.8</v>
      </c>
      <c r="F16" s="95">
        <v>1.1000000000000001</v>
      </c>
      <c r="G16" s="96">
        <v>2.1</v>
      </c>
      <c r="H16" s="95">
        <v>0.9</v>
      </c>
      <c r="I16" s="96">
        <v>2.1</v>
      </c>
      <c r="J16" s="97"/>
      <c r="K16" s="98"/>
      <c r="L16" s="97"/>
      <c r="M16" s="98"/>
      <c r="N16" s="86"/>
      <c r="O16" s="86"/>
      <c r="P16" s="86"/>
      <c r="Q16" s="86"/>
      <c r="R16" s="86"/>
      <c r="S16" s="86"/>
    </row>
    <row r="17" spans="1:13" s="82" customFormat="1">
      <c r="A17" s="57" t="s">
        <v>59</v>
      </c>
      <c r="B17" s="7">
        <v>0.4</v>
      </c>
      <c r="C17" s="7">
        <f t="shared" si="0"/>
        <v>2</v>
      </c>
      <c r="D17" s="99">
        <v>2</v>
      </c>
      <c r="E17" s="78">
        <f t="shared" si="1"/>
        <v>2.8</v>
      </c>
      <c r="F17" s="78">
        <v>1.1000000000000001</v>
      </c>
      <c r="G17" s="79">
        <v>2.1</v>
      </c>
      <c r="H17" s="78">
        <v>0.9</v>
      </c>
      <c r="I17" s="79">
        <v>2.1</v>
      </c>
      <c r="J17" s="63"/>
      <c r="K17" s="64"/>
      <c r="L17" s="63"/>
      <c r="M17" s="64"/>
    </row>
    <row r="18" spans="1:13" s="82" customFormat="1">
      <c r="A18" s="57" t="s">
        <v>65</v>
      </c>
      <c r="B18" s="7">
        <v>0.4</v>
      </c>
      <c r="C18" s="7">
        <f t="shared" si="0"/>
        <v>1.8</v>
      </c>
      <c r="D18" s="99">
        <v>2</v>
      </c>
      <c r="E18" s="78">
        <f t="shared" si="1"/>
        <v>2.6</v>
      </c>
      <c r="F18" s="78">
        <v>0.9</v>
      </c>
      <c r="G18" s="79">
        <v>2.1</v>
      </c>
      <c r="H18" s="78">
        <v>0.9</v>
      </c>
      <c r="I18" s="79">
        <v>2.1</v>
      </c>
      <c r="J18" s="63"/>
      <c r="K18" s="64"/>
      <c r="L18" s="63"/>
      <c r="M18" s="64"/>
    </row>
    <row r="19" spans="1:13" s="82" customFormat="1">
      <c r="A19" s="57" t="s">
        <v>67</v>
      </c>
      <c r="B19" s="7">
        <v>0.4</v>
      </c>
      <c r="C19" s="7">
        <f t="shared" si="0"/>
        <v>0.9</v>
      </c>
      <c r="D19" s="99">
        <v>1</v>
      </c>
      <c r="E19" s="78">
        <f t="shared" si="1"/>
        <v>1.3</v>
      </c>
      <c r="F19" s="78">
        <v>0.9</v>
      </c>
      <c r="G19" s="79">
        <v>2.1</v>
      </c>
      <c r="H19" s="63"/>
      <c r="I19" s="64"/>
      <c r="J19" s="63"/>
      <c r="K19" s="64"/>
      <c r="L19" s="63"/>
      <c r="M19" s="64"/>
    </row>
    <row r="20" spans="1:13" s="82" customFormat="1">
      <c r="A20" s="57" t="s">
        <v>70</v>
      </c>
      <c r="B20" s="7">
        <v>0.4</v>
      </c>
      <c r="C20" s="7">
        <f t="shared" si="0"/>
        <v>2.96</v>
      </c>
      <c r="D20" s="99">
        <v>2</v>
      </c>
      <c r="E20" s="78">
        <f t="shared" si="1"/>
        <v>3.76</v>
      </c>
      <c r="F20" s="78">
        <v>1.48</v>
      </c>
      <c r="G20" s="79">
        <v>2.1</v>
      </c>
      <c r="H20" s="78">
        <v>1.48</v>
      </c>
      <c r="I20" s="79">
        <v>2.1</v>
      </c>
      <c r="J20" s="63"/>
      <c r="K20" s="64"/>
      <c r="L20" s="63"/>
      <c r="M20" s="64"/>
    </row>
    <row r="21" spans="1:13" s="82" customFormat="1">
      <c r="A21" s="57" t="s">
        <v>74</v>
      </c>
      <c r="B21" s="7">
        <v>0.4</v>
      </c>
      <c r="C21" s="7">
        <f t="shared" si="0"/>
        <v>0.8</v>
      </c>
      <c r="D21" s="99">
        <v>1</v>
      </c>
      <c r="E21" s="78">
        <f t="shared" si="1"/>
        <v>1.2000000000000002</v>
      </c>
      <c r="F21" s="78">
        <v>0.8</v>
      </c>
      <c r="G21" s="79">
        <v>2.1</v>
      </c>
      <c r="H21" s="63"/>
      <c r="I21" s="64"/>
      <c r="J21" s="63"/>
      <c r="K21" s="64"/>
      <c r="L21" s="63"/>
      <c r="M21" s="64"/>
    </row>
    <row r="22" spans="1:13" s="82" customFormat="1">
      <c r="A22" s="57" t="s">
        <v>75</v>
      </c>
      <c r="B22" s="7">
        <v>0.4</v>
      </c>
      <c r="C22" s="7">
        <f t="shared" si="0"/>
        <v>3.2</v>
      </c>
      <c r="D22" s="99">
        <v>2</v>
      </c>
      <c r="E22" s="78">
        <f t="shared" si="1"/>
        <v>4</v>
      </c>
      <c r="F22" s="78">
        <v>1.1000000000000001</v>
      </c>
      <c r="G22" s="79">
        <v>2.1</v>
      </c>
      <c r="H22" s="78">
        <v>2.1</v>
      </c>
      <c r="I22" s="79">
        <v>2.1</v>
      </c>
      <c r="J22" s="63"/>
      <c r="K22" s="64"/>
      <c r="L22" s="63"/>
      <c r="M22" s="64"/>
    </row>
    <row r="23" spans="1:13" s="82" customFormat="1">
      <c r="A23" s="57" t="s">
        <v>76</v>
      </c>
      <c r="B23" s="7">
        <v>0.4</v>
      </c>
      <c r="C23" s="7">
        <f t="shared" si="0"/>
        <v>0.8</v>
      </c>
      <c r="D23" s="99">
        <v>1</v>
      </c>
      <c r="E23" s="78">
        <f t="shared" si="1"/>
        <v>1.2000000000000002</v>
      </c>
      <c r="F23" s="78">
        <v>0.8</v>
      </c>
      <c r="G23" s="79">
        <v>2.1</v>
      </c>
      <c r="H23" s="63"/>
      <c r="I23" s="64"/>
      <c r="J23" s="63"/>
      <c r="K23" s="64"/>
      <c r="L23" s="63"/>
      <c r="M23" s="64"/>
    </row>
    <row r="24" spans="1:13" s="82" customFormat="1">
      <c r="A24" s="57" t="s">
        <v>77</v>
      </c>
      <c r="B24" s="7">
        <v>0.4</v>
      </c>
      <c r="C24" s="7">
        <f t="shared" si="0"/>
        <v>0.8</v>
      </c>
      <c r="D24" s="99">
        <v>1</v>
      </c>
      <c r="E24" s="78">
        <f t="shared" si="1"/>
        <v>1.2000000000000002</v>
      </c>
      <c r="F24" s="78">
        <v>0.8</v>
      </c>
      <c r="G24" s="79">
        <v>2.1</v>
      </c>
      <c r="H24" s="63"/>
      <c r="I24" s="64"/>
      <c r="J24" s="63"/>
      <c r="K24" s="64"/>
      <c r="L24" s="63"/>
      <c r="M24" s="64"/>
    </row>
    <row r="25" spans="1:13" s="82" customFormat="1">
      <c r="A25" s="57" t="s">
        <v>82</v>
      </c>
      <c r="B25" s="7">
        <v>0.4</v>
      </c>
      <c r="C25" s="7">
        <f t="shared" si="0"/>
        <v>0.9</v>
      </c>
      <c r="D25" s="99">
        <v>1</v>
      </c>
      <c r="E25" s="78">
        <f t="shared" si="1"/>
        <v>1.3</v>
      </c>
      <c r="F25" s="78">
        <v>0.9</v>
      </c>
      <c r="G25" s="79">
        <v>2.1</v>
      </c>
      <c r="H25" s="63"/>
      <c r="I25" s="64"/>
      <c r="J25" s="63"/>
      <c r="K25" s="64"/>
      <c r="L25" s="63"/>
      <c r="M25" s="64"/>
    </row>
    <row r="26" spans="1:13" s="82" customFormat="1">
      <c r="A26" s="57" t="s">
        <v>133</v>
      </c>
      <c r="B26" s="7">
        <v>0.4</v>
      </c>
      <c r="C26" s="7">
        <f t="shared" si="0"/>
        <v>0.9</v>
      </c>
      <c r="D26" s="99">
        <v>1</v>
      </c>
      <c r="E26" s="78">
        <f t="shared" si="1"/>
        <v>1.3</v>
      </c>
      <c r="F26" s="78">
        <v>0.9</v>
      </c>
      <c r="G26" s="79">
        <v>2.1</v>
      </c>
      <c r="H26" s="63"/>
      <c r="I26" s="64"/>
      <c r="J26" s="63"/>
      <c r="K26" s="64"/>
      <c r="L26" s="63"/>
      <c r="M26" s="64"/>
    </row>
    <row r="27" spans="1:13" s="82" customFormat="1">
      <c r="A27" s="57" t="s">
        <v>137</v>
      </c>
      <c r="B27" s="7">
        <v>0.4</v>
      </c>
      <c r="C27" s="7">
        <f t="shared" si="0"/>
        <v>3.9000000000000004</v>
      </c>
      <c r="D27" s="99">
        <v>3</v>
      </c>
      <c r="E27" s="78">
        <f t="shared" si="1"/>
        <v>5.1000000000000005</v>
      </c>
      <c r="F27" s="78">
        <v>0.9</v>
      </c>
      <c r="G27" s="79">
        <v>2.1</v>
      </c>
      <c r="H27" s="78">
        <v>0.9</v>
      </c>
      <c r="I27" s="79">
        <v>2.1</v>
      </c>
      <c r="J27" s="78">
        <v>2.1</v>
      </c>
      <c r="K27" s="79">
        <v>2.1</v>
      </c>
      <c r="L27" s="63"/>
      <c r="M27" s="64"/>
    </row>
    <row r="29" spans="1:13">
      <c r="A29" s="49" t="s">
        <v>88</v>
      </c>
      <c r="B29" s="159">
        <f>SUM(E4:E27)</f>
        <v>60.37</v>
      </c>
      <c r="C29" s="160"/>
    </row>
    <row r="30" spans="1:13" ht="9.9499999999999993" customHeight="1"/>
    <row r="31" spans="1:13" ht="15" customHeight="1">
      <c r="A31" s="49" t="s">
        <v>152</v>
      </c>
      <c r="B31" s="161">
        <f>B29*(0.12*0.19)</f>
        <v>1.376436</v>
      </c>
      <c r="C31" s="162"/>
    </row>
    <row r="32" spans="1:13" ht="5.0999999999999996" customHeight="1"/>
    <row r="33" spans="1:13" ht="15" customHeight="1">
      <c r="A33" s="48" t="s">
        <v>153</v>
      </c>
    </row>
    <row r="34" spans="1:13" ht="15" customHeight="1"/>
    <row r="35" spans="1:13" ht="15" customHeight="1"/>
    <row r="36" spans="1:13">
      <c r="A36" s="1"/>
      <c r="B36" s="3"/>
      <c r="C36" s="3"/>
      <c r="D36" s="3"/>
      <c r="E36" s="3"/>
      <c r="F36" s="154" t="s">
        <v>15</v>
      </c>
      <c r="G36" s="154"/>
      <c r="H36" s="154" t="s">
        <v>16</v>
      </c>
      <c r="I36" s="154"/>
      <c r="J36" s="154" t="s">
        <v>17</v>
      </c>
      <c r="K36" s="154"/>
      <c r="L36" s="154" t="s">
        <v>18</v>
      </c>
      <c r="M36" s="154"/>
    </row>
    <row r="37" spans="1:13" ht="30">
      <c r="A37" s="1"/>
      <c r="B37" s="30" t="s">
        <v>98</v>
      </c>
      <c r="C37" s="30" t="s">
        <v>100</v>
      </c>
      <c r="D37" s="30" t="s">
        <v>102</v>
      </c>
      <c r="E37" s="30" t="s">
        <v>103</v>
      </c>
      <c r="F37" s="33" t="s">
        <v>10</v>
      </c>
      <c r="G37" s="33" t="s">
        <v>11</v>
      </c>
      <c r="H37" s="33" t="s">
        <v>10</v>
      </c>
      <c r="I37" s="33" t="s">
        <v>11</v>
      </c>
      <c r="J37" s="33" t="s">
        <v>10</v>
      </c>
      <c r="K37" s="33" t="s">
        <v>11</v>
      </c>
      <c r="L37" s="33" t="s">
        <v>10</v>
      </c>
      <c r="M37" s="33" t="s">
        <v>11</v>
      </c>
    </row>
    <row r="38" spans="1:13">
      <c r="A38" s="49" t="s">
        <v>36</v>
      </c>
      <c r="B38" s="6">
        <v>0.4</v>
      </c>
      <c r="C38" s="6">
        <f>F38+H38+J38+L38</f>
        <v>1.33</v>
      </c>
      <c r="D38" s="34">
        <v>1</v>
      </c>
      <c r="E38" s="14">
        <f t="shared" ref="E38:E39" si="2">C38+(B38*D38)</f>
        <v>1.73</v>
      </c>
      <c r="F38" s="14">
        <v>1.33</v>
      </c>
      <c r="G38" s="15">
        <v>2.1</v>
      </c>
      <c r="H38" s="16"/>
      <c r="I38" s="17"/>
      <c r="J38" s="16"/>
      <c r="K38" s="17"/>
      <c r="L38" s="16"/>
      <c r="M38" s="17"/>
    </row>
    <row r="39" spans="1:13">
      <c r="A39" s="49" t="s">
        <v>39</v>
      </c>
      <c r="B39" s="6">
        <v>0.4</v>
      </c>
      <c r="C39" s="6">
        <f>F39+H39+J39+L39</f>
        <v>2.9000000000000004</v>
      </c>
      <c r="D39" s="34">
        <v>2</v>
      </c>
      <c r="E39" s="14">
        <f t="shared" si="2"/>
        <v>3.7</v>
      </c>
      <c r="F39" s="14">
        <v>2.1</v>
      </c>
      <c r="G39" s="15">
        <v>2.1</v>
      </c>
      <c r="H39" s="14">
        <v>0.8</v>
      </c>
      <c r="I39" s="15">
        <v>2.1</v>
      </c>
      <c r="J39" s="16"/>
      <c r="K39" s="17"/>
      <c r="L39" s="16"/>
      <c r="M39" s="17"/>
    </row>
    <row r="41" spans="1:13">
      <c r="A41" s="49" t="s">
        <v>88</v>
      </c>
      <c r="B41" s="159">
        <f>SUM(E38:E39)</f>
        <v>5.43</v>
      </c>
      <c r="C41" s="160"/>
    </row>
    <row r="42" spans="1:13" ht="9.9499999999999993" customHeight="1"/>
    <row r="43" spans="1:13">
      <c r="A43" s="49" t="s">
        <v>152</v>
      </c>
      <c r="B43" s="161">
        <f>B41*(0.15*0.19)</f>
        <v>0.15475499999999998</v>
      </c>
      <c r="C43" s="162"/>
    </row>
    <row r="44" spans="1:13" ht="5.0999999999999996" customHeight="1"/>
    <row r="45" spans="1:13">
      <c r="A45" s="48" t="s">
        <v>151</v>
      </c>
    </row>
    <row r="49" spans="1:3">
      <c r="A49" s="49" t="s">
        <v>154</v>
      </c>
      <c r="B49" s="161">
        <f>B31+B43</f>
        <v>1.531191</v>
      </c>
      <c r="C49" s="162"/>
    </row>
    <row r="50" spans="1:3" hidden="1">
      <c r="A50" s="5" t="s">
        <v>312</v>
      </c>
    </row>
  </sheetData>
  <mergeCells count="14">
    <mergeCell ref="A1:M1"/>
    <mergeCell ref="L2:M2"/>
    <mergeCell ref="L36:M36"/>
    <mergeCell ref="B31:C31"/>
    <mergeCell ref="B43:C43"/>
    <mergeCell ref="J2:K2"/>
    <mergeCell ref="J36:K36"/>
    <mergeCell ref="B49:C49"/>
    <mergeCell ref="B41:C41"/>
    <mergeCell ref="B29:C29"/>
    <mergeCell ref="F2:G2"/>
    <mergeCell ref="H2:I2"/>
    <mergeCell ref="F36:G36"/>
    <mergeCell ref="H36:I36"/>
  </mergeCells>
  <pageMargins left="0.51181102362204722" right="0.51181102362204722" top="0.78740157480314965" bottom="0.78740157480314965" header="0.31496062992125984" footer="0.31496062992125984"/>
  <pageSetup paperSize="9" scale="68" orientation="landscape" r:id="rId1"/>
  <headerFooter>
    <oddHeader>&amp;A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K8"/>
  <sheetViews>
    <sheetView zoomScale="85" zoomScaleNormal="85" workbookViewId="0">
      <selection activeCell="E1" sqref="E1:E1048576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>
      <c r="A1" s="154" t="s">
        <v>303</v>
      </c>
      <c r="B1" s="154"/>
      <c r="C1" s="154"/>
    </row>
    <row r="2" spans="1:11" ht="15" customHeight="1">
      <c r="A2" s="1"/>
      <c r="B2" s="30" t="s">
        <v>87</v>
      </c>
      <c r="C2" s="30" t="s">
        <v>88</v>
      </c>
      <c r="D2" s="1"/>
      <c r="E2" s="1"/>
      <c r="F2" s="1"/>
      <c r="G2" s="1"/>
      <c r="H2" s="1"/>
      <c r="I2" s="1"/>
      <c r="J2" s="1"/>
      <c r="K2" s="1"/>
    </row>
    <row r="3" spans="1:11">
      <c r="A3" s="52" t="s">
        <v>155</v>
      </c>
      <c r="B3" s="39">
        <v>0</v>
      </c>
      <c r="C3" s="40"/>
      <c r="D3" s="1"/>
      <c r="E3" s="5" t="s">
        <v>314</v>
      </c>
      <c r="F3" s="1"/>
      <c r="G3" s="1"/>
      <c r="H3" s="1"/>
      <c r="I3" s="1"/>
      <c r="J3" s="1"/>
      <c r="K3" s="1"/>
    </row>
    <row r="4" spans="1:11">
      <c r="A4" s="52" t="s">
        <v>85</v>
      </c>
      <c r="B4" s="40"/>
      <c r="C4" s="32">
        <v>0</v>
      </c>
      <c r="D4" s="1"/>
      <c r="E4" s="5" t="s">
        <v>315</v>
      </c>
      <c r="H4" s="1"/>
      <c r="I4" s="1"/>
    </row>
    <row r="5" spans="1:11">
      <c r="A5" s="52" t="s">
        <v>86</v>
      </c>
      <c r="B5" s="40"/>
      <c r="C5" s="32">
        <v>0</v>
      </c>
      <c r="D5" s="1"/>
      <c r="E5" s="5" t="s">
        <v>316</v>
      </c>
      <c r="F5" s="1"/>
      <c r="G5" s="1"/>
      <c r="H5" s="1"/>
      <c r="I5" s="1"/>
      <c r="J5" s="1"/>
      <c r="K5" s="1"/>
    </row>
    <row r="6" spans="1:11">
      <c r="A6" s="52" t="s">
        <v>156</v>
      </c>
      <c r="B6" s="39">
        <v>0</v>
      </c>
      <c r="C6" s="40"/>
      <c r="D6" s="1"/>
      <c r="E6" s="5" t="s">
        <v>317</v>
      </c>
      <c r="F6" s="1"/>
      <c r="G6" s="1"/>
      <c r="H6" s="1"/>
      <c r="I6" s="1"/>
      <c r="J6" s="1"/>
      <c r="K6" s="1"/>
    </row>
    <row r="7" spans="1:11">
      <c r="A7" s="52" t="s">
        <v>157</v>
      </c>
      <c r="B7" s="39">
        <v>0</v>
      </c>
      <c r="C7" s="40"/>
      <c r="D7" s="1"/>
      <c r="E7" s="5" t="s">
        <v>318</v>
      </c>
      <c r="F7" s="1"/>
      <c r="G7" s="1"/>
      <c r="H7" s="1"/>
      <c r="I7" s="1"/>
      <c r="J7" s="1"/>
      <c r="K7" s="1"/>
    </row>
    <row r="8" spans="1:11">
      <c r="A8" s="52" t="s">
        <v>84</v>
      </c>
      <c r="B8" s="40"/>
      <c r="C8" s="32">
        <v>0</v>
      </c>
      <c r="E8" s="5" t="s">
        <v>319</v>
      </c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&amp;A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N69"/>
  <sheetViews>
    <sheetView topLeftCell="A16" zoomScale="85" zoomScaleNormal="85" workbookViewId="0">
      <selection activeCell="A69" sqref="A69:XFD6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54" t="s">
        <v>304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</row>
    <row r="2" spans="1:40" s="3" customFormat="1">
      <c r="A2" s="12" t="s">
        <v>21</v>
      </c>
      <c r="F2" s="154" t="s">
        <v>6</v>
      </c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</row>
    <row r="3" spans="1:40" s="3" customFormat="1">
      <c r="A3" s="46">
        <f>Memória!A2</f>
        <v>3.4</v>
      </c>
      <c r="F3" s="157" t="s">
        <v>9</v>
      </c>
      <c r="G3" s="158"/>
      <c r="H3" s="157" t="s">
        <v>12</v>
      </c>
      <c r="I3" s="158"/>
      <c r="J3" s="157" t="s">
        <v>13</v>
      </c>
      <c r="K3" s="158"/>
      <c r="L3" s="157" t="s">
        <v>14</v>
      </c>
      <c r="M3" s="158"/>
      <c r="N3" s="157" t="s">
        <v>15</v>
      </c>
      <c r="O3" s="158"/>
      <c r="P3" s="157" t="s">
        <v>16</v>
      </c>
      <c r="Q3" s="158"/>
      <c r="R3" s="157" t="s">
        <v>17</v>
      </c>
      <c r="S3" s="158"/>
      <c r="T3" s="154" t="s">
        <v>18</v>
      </c>
      <c r="U3" s="154"/>
      <c r="V3" s="154" t="s">
        <v>19</v>
      </c>
      <c r="W3" s="154"/>
      <c r="X3" s="154" t="s">
        <v>20</v>
      </c>
      <c r="Y3" s="154"/>
      <c r="Z3" s="154" t="s">
        <v>22</v>
      </c>
      <c r="AA3" s="154"/>
      <c r="AB3" s="154" t="s">
        <v>23</v>
      </c>
      <c r="AC3" s="154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0" t="s">
        <v>121</v>
      </c>
      <c r="B5" s="9"/>
      <c r="C5" s="9"/>
      <c r="D5" s="6">
        <v>54.42</v>
      </c>
      <c r="E5" s="4">
        <f>(D5*$A$3)-((F5*G5)+(H5*I5)+(J5*K5)+(L5*M5)+(N5*O5)+(P5*Q5)+(R5*S5)+(T5*U5)+(V5*W5)+(X5*Y5)+(Z5*AA5)+(AB5*AC5))</f>
        <v>97.212999999999994</v>
      </c>
      <c r="F5" s="78">
        <v>3</v>
      </c>
      <c r="G5" s="79">
        <v>1</v>
      </c>
      <c r="H5" s="78">
        <v>3</v>
      </c>
      <c r="I5" s="79">
        <v>1</v>
      </c>
      <c r="J5" s="78">
        <v>7.75</v>
      </c>
      <c r="K5" s="79">
        <v>9.5</v>
      </c>
      <c r="L5" s="63"/>
      <c r="M5" s="64"/>
      <c r="N5" s="78">
        <v>0.9</v>
      </c>
      <c r="O5" s="79">
        <v>2.1</v>
      </c>
      <c r="P5" s="78">
        <v>0.9</v>
      </c>
      <c r="Q5" s="79">
        <v>2.1</v>
      </c>
      <c r="R5" s="78">
        <v>2.1</v>
      </c>
      <c r="S5" s="79">
        <v>2.1</v>
      </c>
      <c r="T5" s="63"/>
      <c r="U5" s="64"/>
      <c r="V5" s="63"/>
      <c r="W5" s="64"/>
      <c r="X5" s="63"/>
      <c r="Y5" s="64"/>
      <c r="Z5" s="63"/>
      <c r="AA5" s="64"/>
      <c r="AB5" s="63"/>
      <c r="AC5" s="64"/>
      <c r="AG5" s="1"/>
      <c r="AH5" s="1"/>
      <c r="AI5" s="1"/>
      <c r="AJ5" s="1"/>
      <c r="AK5" s="1"/>
      <c r="AL5" s="1"/>
      <c r="AM5" s="1"/>
      <c r="AN5" s="1"/>
    </row>
    <row r="6" spans="1:40">
      <c r="A6" s="50" t="s">
        <v>117</v>
      </c>
      <c r="B6" s="6">
        <v>1.95</v>
      </c>
      <c r="C6" s="6">
        <v>2.5</v>
      </c>
      <c r="D6" s="6">
        <f t="shared" ref="D6:D8" si="0">2*(B6+C6)</f>
        <v>8.9</v>
      </c>
      <c r="E6" s="4">
        <f t="shared" ref="E6:E45" si="1">(D6*$A$3)-((F6*G6)+(H6*I6)+(J6*K6)+(L6*M6)+(N6*O6)+(P6*Q6)+(R6*S6)+(T6*U6)+(V6*W6)+(X6*Y6)+(Z6*AA6)+(AB6*AC6))</f>
        <v>27.57</v>
      </c>
      <c r="F6" s="78">
        <v>1</v>
      </c>
      <c r="G6" s="79">
        <v>0.8</v>
      </c>
      <c r="H6" s="63"/>
      <c r="I6" s="64"/>
      <c r="J6" s="63"/>
      <c r="K6" s="64"/>
      <c r="L6" s="63"/>
      <c r="M6" s="64"/>
      <c r="N6" s="78">
        <v>0.9</v>
      </c>
      <c r="O6" s="79">
        <v>2.1</v>
      </c>
      <c r="P6" s="63"/>
      <c r="Q6" s="64"/>
      <c r="R6" s="63"/>
      <c r="S6" s="64"/>
      <c r="T6" s="63"/>
      <c r="U6" s="64"/>
      <c r="V6" s="63"/>
      <c r="W6" s="64"/>
      <c r="X6" s="63"/>
      <c r="Y6" s="64"/>
      <c r="Z6" s="63"/>
      <c r="AA6" s="64"/>
      <c r="AB6" s="63"/>
      <c r="AC6" s="64"/>
      <c r="AG6" s="1"/>
      <c r="AH6" s="1"/>
      <c r="AK6" s="1"/>
      <c r="AL6" s="1"/>
    </row>
    <row r="7" spans="1:40">
      <c r="A7" s="50" t="s">
        <v>117</v>
      </c>
      <c r="B7" s="6">
        <v>1.95</v>
      </c>
      <c r="C7" s="6">
        <v>2.5</v>
      </c>
      <c r="D7" s="6">
        <f t="shared" si="0"/>
        <v>8.9</v>
      </c>
      <c r="E7" s="4">
        <f t="shared" si="1"/>
        <v>28.37</v>
      </c>
      <c r="F7" s="63"/>
      <c r="G7" s="64"/>
      <c r="H7" s="63"/>
      <c r="I7" s="64"/>
      <c r="J7" s="63"/>
      <c r="K7" s="64"/>
      <c r="L7" s="63"/>
      <c r="M7" s="64"/>
      <c r="N7" s="78">
        <v>0.9</v>
      </c>
      <c r="O7" s="79">
        <v>2.1</v>
      </c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G7" s="1"/>
      <c r="AH7" s="1"/>
      <c r="AI7" s="1"/>
      <c r="AJ7" s="1"/>
      <c r="AK7" s="1"/>
      <c r="AL7" s="1"/>
      <c r="AM7" s="1"/>
      <c r="AN7" s="1"/>
    </row>
    <row r="8" spans="1:40">
      <c r="A8" s="50" t="s">
        <v>116</v>
      </c>
      <c r="B8" s="6">
        <v>1.95</v>
      </c>
      <c r="C8" s="6">
        <v>3.83</v>
      </c>
      <c r="D8" s="6">
        <f t="shared" si="0"/>
        <v>11.56</v>
      </c>
      <c r="E8" s="4">
        <f t="shared" si="1"/>
        <v>37.624000000000002</v>
      </c>
      <c r="F8" s="63"/>
      <c r="G8" s="64"/>
      <c r="H8" s="63"/>
      <c r="I8" s="64"/>
      <c r="J8" s="63"/>
      <c r="K8" s="64"/>
      <c r="L8" s="63"/>
      <c r="M8" s="64"/>
      <c r="N8" s="78">
        <v>0.8</v>
      </c>
      <c r="O8" s="79">
        <v>2.1</v>
      </c>
      <c r="P8" s="63"/>
      <c r="Q8" s="64"/>
      <c r="R8" s="63"/>
      <c r="S8" s="64"/>
      <c r="T8" s="63"/>
      <c r="U8" s="64"/>
      <c r="V8" s="63"/>
      <c r="W8" s="64"/>
      <c r="X8" s="63"/>
      <c r="Y8" s="64"/>
      <c r="Z8" s="63"/>
      <c r="AA8" s="64"/>
      <c r="AB8" s="63"/>
      <c r="AC8" s="64"/>
      <c r="AG8" s="1"/>
      <c r="AH8" s="1"/>
      <c r="AI8" s="1"/>
      <c r="AJ8" s="1"/>
      <c r="AK8" s="1"/>
      <c r="AL8" s="1"/>
      <c r="AM8" s="1"/>
      <c r="AN8" s="1"/>
    </row>
    <row r="9" spans="1:40">
      <c r="A9" s="50" t="s">
        <v>118</v>
      </c>
      <c r="B9" s="9"/>
      <c r="C9" s="9"/>
      <c r="D9" s="6">
        <v>27.06</v>
      </c>
      <c r="E9" s="4">
        <f t="shared" si="1"/>
        <v>81.800999999999988</v>
      </c>
      <c r="F9" s="78">
        <v>3</v>
      </c>
      <c r="G9" s="79">
        <v>1</v>
      </c>
      <c r="H9" s="63"/>
      <c r="I9" s="64"/>
      <c r="J9" s="63"/>
      <c r="K9" s="64"/>
      <c r="L9" s="63"/>
      <c r="M9" s="64"/>
      <c r="N9" s="78">
        <v>2.1</v>
      </c>
      <c r="O9" s="79">
        <v>2.1</v>
      </c>
      <c r="P9" s="78">
        <v>1.33</v>
      </c>
      <c r="Q9" s="79">
        <v>2.1</v>
      </c>
      <c r="R9" s="63"/>
      <c r="S9" s="64"/>
      <c r="T9" s="63"/>
      <c r="U9" s="64"/>
      <c r="V9" s="63"/>
      <c r="W9" s="64"/>
      <c r="X9" s="63"/>
      <c r="Y9" s="64"/>
      <c r="Z9" s="63"/>
      <c r="AA9" s="64"/>
      <c r="AB9" s="63"/>
      <c r="AC9" s="64"/>
      <c r="AG9" s="1"/>
      <c r="AH9" s="1"/>
      <c r="AI9" s="1"/>
      <c r="AJ9" s="1"/>
      <c r="AK9" s="1"/>
      <c r="AL9" s="1"/>
      <c r="AM9" s="1"/>
      <c r="AN9" s="1"/>
    </row>
    <row r="10" spans="1:40">
      <c r="A10" s="50" t="s">
        <v>110</v>
      </c>
      <c r="B10" s="6">
        <v>1.75</v>
      </c>
      <c r="C10" s="6">
        <v>1.45</v>
      </c>
      <c r="D10" s="6">
        <f t="shared" ref="D10" si="2">2*(B10+C10)</f>
        <v>6.4</v>
      </c>
      <c r="E10" s="4">
        <f t="shared" si="1"/>
        <v>18.967000000000002</v>
      </c>
      <c r="F10" s="63"/>
      <c r="G10" s="64"/>
      <c r="H10" s="63"/>
      <c r="I10" s="64"/>
      <c r="J10" s="63"/>
      <c r="K10" s="64"/>
      <c r="L10" s="63"/>
      <c r="M10" s="64"/>
      <c r="N10" s="78">
        <v>1.33</v>
      </c>
      <c r="O10" s="79">
        <v>2.1</v>
      </c>
      <c r="P10" s="63"/>
      <c r="Q10" s="64"/>
      <c r="R10" s="63"/>
      <c r="S10" s="64"/>
      <c r="T10" s="63"/>
      <c r="U10" s="64"/>
      <c r="V10" s="63"/>
      <c r="W10" s="64"/>
      <c r="X10" s="63"/>
      <c r="Y10" s="64"/>
      <c r="Z10" s="63"/>
      <c r="AA10" s="64"/>
      <c r="AB10" s="63"/>
      <c r="AC10" s="64"/>
      <c r="AG10" s="1"/>
      <c r="AH10" s="1"/>
      <c r="AI10" s="1"/>
      <c r="AJ10" s="1"/>
      <c r="AK10" s="1"/>
      <c r="AL10" s="1"/>
      <c r="AM10" s="1"/>
      <c r="AN10" s="1"/>
    </row>
    <row r="11" spans="1:40">
      <c r="A11" s="50" t="s">
        <v>122</v>
      </c>
      <c r="B11" s="9"/>
      <c r="C11" s="9"/>
      <c r="D11" s="6">
        <v>20.239999999999998</v>
      </c>
      <c r="E11" s="4">
        <f t="shared" si="1"/>
        <v>40.285999999999987</v>
      </c>
      <c r="F11" s="63"/>
      <c r="G11" s="64"/>
      <c r="H11" s="63"/>
      <c r="I11" s="64"/>
      <c r="J11" s="63"/>
      <c r="K11" s="64"/>
      <c r="L11" s="63"/>
      <c r="M11" s="64"/>
      <c r="N11" s="78">
        <v>2.1</v>
      </c>
      <c r="O11" s="79">
        <v>2.1</v>
      </c>
      <c r="P11" s="78">
        <v>0.8</v>
      </c>
      <c r="Q11" s="79">
        <v>2.1</v>
      </c>
      <c r="R11" s="63"/>
      <c r="S11" s="64"/>
      <c r="T11" s="63"/>
      <c r="U11" s="64"/>
      <c r="V11" s="63"/>
      <c r="W11" s="64"/>
      <c r="X11" s="63"/>
      <c r="Y11" s="64"/>
      <c r="Z11" s="63"/>
      <c r="AA11" s="64"/>
      <c r="AB11" s="78">
        <v>6.6</v>
      </c>
      <c r="AC11" s="79">
        <v>3.4</v>
      </c>
      <c r="AG11" s="1"/>
      <c r="AH11" s="1"/>
      <c r="AI11" s="1"/>
      <c r="AJ11" s="1"/>
      <c r="AK11" s="1"/>
      <c r="AL11" s="1"/>
      <c r="AM11" s="1"/>
      <c r="AN11" s="1"/>
    </row>
    <row r="12" spans="1:40">
      <c r="A12" s="50" t="s">
        <v>123</v>
      </c>
      <c r="B12" s="9"/>
      <c r="C12" s="9"/>
      <c r="D12" s="6">
        <v>56.3</v>
      </c>
      <c r="E12" s="4">
        <f t="shared" si="1"/>
        <v>174.98</v>
      </c>
      <c r="F12" s="78">
        <v>2.75</v>
      </c>
      <c r="G12" s="79">
        <v>1</v>
      </c>
      <c r="H12" s="78">
        <v>2.75</v>
      </c>
      <c r="I12" s="79">
        <v>1</v>
      </c>
      <c r="J12" s="78">
        <v>2.75</v>
      </c>
      <c r="K12" s="79">
        <v>1</v>
      </c>
      <c r="L12" s="63"/>
      <c r="M12" s="64"/>
      <c r="N12" s="78">
        <v>2.1</v>
      </c>
      <c r="O12" s="79">
        <v>2.1</v>
      </c>
      <c r="P12" s="78">
        <v>0.9</v>
      </c>
      <c r="Q12" s="79">
        <v>2.1</v>
      </c>
      <c r="R12" s="78">
        <v>0.9</v>
      </c>
      <c r="S12" s="79">
        <v>2.1</v>
      </c>
      <c r="T12" s="63"/>
      <c r="U12" s="64"/>
      <c r="V12" s="63"/>
      <c r="W12" s="64"/>
      <c r="X12" s="63"/>
      <c r="Y12" s="64"/>
      <c r="Z12" s="63"/>
      <c r="AA12" s="64"/>
      <c r="AB12" s="63"/>
      <c r="AC12" s="64"/>
      <c r="AG12" s="1"/>
      <c r="AH12" s="1"/>
      <c r="AI12" s="1"/>
      <c r="AJ12" s="1"/>
      <c r="AK12" s="1"/>
      <c r="AL12" s="1"/>
      <c r="AM12" s="1"/>
      <c r="AN12" s="1"/>
    </row>
    <row r="13" spans="1:40">
      <c r="A13" s="50" t="s">
        <v>117</v>
      </c>
      <c r="B13" s="6">
        <v>2.35</v>
      </c>
      <c r="C13" s="6">
        <v>1.8</v>
      </c>
      <c r="D13" s="6">
        <f t="shared" ref="D13:D18" si="3">2*(B13+C13)</f>
        <v>8.3000000000000007</v>
      </c>
      <c r="E13" s="4">
        <f t="shared" si="1"/>
        <v>25.53</v>
      </c>
      <c r="F13" s="78">
        <v>1</v>
      </c>
      <c r="G13" s="79">
        <v>0.8</v>
      </c>
      <c r="H13" s="63"/>
      <c r="I13" s="64"/>
      <c r="J13" s="63"/>
      <c r="K13" s="64"/>
      <c r="L13" s="63"/>
      <c r="M13" s="64"/>
      <c r="N13" s="78">
        <v>0.9</v>
      </c>
      <c r="O13" s="79">
        <v>2.1</v>
      </c>
      <c r="P13" s="63"/>
      <c r="Q13" s="64"/>
      <c r="R13" s="63"/>
      <c r="S13" s="64"/>
      <c r="T13" s="63"/>
      <c r="U13" s="64"/>
      <c r="V13" s="63"/>
      <c r="W13" s="64"/>
      <c r="X13" s="63"/>
      <c r="Y13" s="64"/>
      <c r="Z13" s="63"/>
      <c r="AA13" s="64"/>
      <c r="AB13" s="63"/>
      <c r="AC13" s="64"/>
      <c r="AG13" s="1"/>
      <c r="AH13" s="1"/>
      <c r="AI13" s="1"/>
      <c r="AJ13" s="1"/>
      <c r="AK13" s="1"/>
      <c r="AL13" s="1"/>
      <c r="AM13" s="1"/>
      <c r="AN13" s="1"/>
    </row>
    <row r="14" spans="1:40">
      <c r="A14" s="50" t="s">
        <v>117</v>
      </c>
      <c r="B14" s="6">
        <v>2.35</v>
      </c>
      <c r="C14" s="6">
        <v>1.8</v>
      </c>
      <c r="D14" s="6">
        <f t="shared" si="3"/>
        <v>8.3000000000000007</v>
      </c>
      <c r="E14" s="4">
        <f t="shared" si="1"/>
        <v>25.53</v>
      </c>
      <c r="F14" s="78">
        <v>1</v>
      </c>
      <c r="G14" s="79">
        <v>0.8</v>
      </c>
      <c r="H14" s="63"/>
      <c r="I14" s="64"/>
      <c r="J14" s="63"/>
      <c r="K14" s="64"/>
      <c r="L14" s="63"/>
      <c r="M14" s="64"/>
      <c r="N14" s="78">
        <v>0.9</v>
      </c>
      <c r="O14" s="79">
        <v>2.1</v>
      </c>
      <c r="P14" s="63"/>
      <c r="Q14" s="64"/>
      <c r="R14" s="63"/>
      <c r="S14" s="64"/>
      <c r="T14" s="63"/>
      <c r="U14" s="64"/>
      <c r="V14" s="63"/>
      <c r="W14" s="64"/>
      <c r="X14" s="63"/>
      <c r="Y14" s="64"/>
      <c r="Z14" s="63"/>
      <c r="AA14" s="64"/>
      <c r="AB14" s="63"/>
      <c r="AC14" s="64"/>
      <c r="AG14" s="1"/>
      <c r="AH14" s="1"/>
      <c r="AI14" s="1"/>
      <c r="AJ14" s="1"/>
      <c r="AK14" s="1"/>
      <c r="AL14" s="1"/>
      <c r="AM14" s="1"/>
      <c r="AN14" s="1"/>
    </row>
    <row r="15" spans="1:40">
      <c r="A15" s="50" t="s">
        <v>114</v>
      </c>
      <c r="B15" s="6">
        <v>1.9</v>
      </c>
      <c r="C15" s="6">
        <v>3.25</v>
      </c>
      <c r="D15" s="6">
        <f t="shared" si="3"/>
        <v>10.3</v>
      </c>
      <c r="E15" s="4">
        <f t="shared" si="1"/>
        <v>28.560000000000002</v>
      </c>
      <c r="F15" s="63"/>
      <c r="G15" s="64"/>
      <c r="H15" s="63"/>
      <c r="I15" s="64"/>
      <c r="J15" s="63"/>
      <c r="K15" s="64"/>
      <c r="L15" s="63"/>
      <c r="M15" s="64"/>
      <c r="N15" s="63"/>
      <c r="O15" s="64"/>
      <c r="P15" s="63"/>
      <c r="Q15" s="64"/>
      <c r="R15" s="63"/>
      <c r="S15" s="64"/>
      <c r="T15" s="63"/>
      <c r="U15" s="64"/>
      <c r="V15" s="63"/>
      <c r="W15" s="64"/>
      <c r="X15" s="63"/>
      <c r="Y15" s="64"/>
      <c r="Z15" s="63"/>
      <c r="AA15" s="64"/>
      <c r="AB15" s="78">
        <v>1.9</v>
      </c>
      <c r="AC15" s="79">
        <v>3.4</v>
      </c>
      <c r="AG15" s="1"/>
      <c r="AH15" s="1"/>
      <c r="AI15" s="1"/>
      <c r="AJ15" s="1"/>
      <c r="AK15" s="1"/>
      <c r="AL15" s="1"/>
      <c r="AM15" s="1"/>
      <c r="AN15" s="1"/>
    </row>
    <row r="16" spans="1:40">
      <c r="A16" s="50" t="s">
        <v>116</v>
      </c>
      <c r="B16" s="6">
        <v>1.9</v>
      </c>
      <c r="C16" s="6">
        <v>3.6</v>
      </c>
      <c r="D16" s="6">
        <f t="shared" si="3"/>
        <v>11</v>
      </c>
      <c r="E16" s="4">
        <f t="shared" si="1"/>
        <v>35.72</v>
      </c>
      <c r="F16" s="63"/>
      <c r="G16" s="64"/>
      <c r="H16" s="63"/>
      <c r="I16" s="64"/>
      <c r="J16" s="63"/>
      <c r="K16" s="64"/>
      <c r="L16" s="63"/>
      <c r="M16" s="64"/>
      <c r="N16" s="78">
        <v>0.8</v>
      </c>
      <c r="O16" s="79">
        <v>2.1</v>
      </c>
      <c r="P16" s="63"/>
      <c r="Q16" s="64"/>
      <c r="R16" s="63"/>
      <c r="S16" s="64"/>
      <c r="T16" s="63"/>
      <c r="U16" s="64"/>
      <c r="V16" s="63"/>
      <c r="W16" s="64"/>
      <c r="X16" s="63"/>
      <c r="Y16" s="64"/>
      <c r="Z16" s="63"/>
      <c r="AA16" s="64"/>
      <c r="AB16" s="63"/>
      <c r="AC16" s="64"/>
      <c r="AG16" s="1"/>
      <c r="AH16" s="1"/>
      <c r="AI16" s="1"/>
      <c r="AJ16" s="1"/>
      <c r="AK16" s="1"/>
      <c r="AL16" s="1"/>
      <c r="AM16" s="1"/>
      <c r="AN16" s="1"/>
    </row>
    <row r="17" spans="1:40">
      <c r="A17" s="50" t="s">
        <v>112</v>
      </c>
      <c r="B17" s="6">
        <v>4.25</v>
      </c>
      <c r="C17" s="6">
        <v>2.0499999999999998</v>
      </c>
      <c r="D17" s="6">
        <f t="shared" si="3"/>
        <v>12.6</v>
      </c>
      <c r="E17" s="4">
        <f t="shared" si="1"/>
        <v>41.16</v>
      </c>
      <c r="F17" s="63"/>
      <c r="G17" s="64"/>
      <c r="H17" s="63"/>
      <c r="I17" s="64"/>
      <c r="J17" s="63"/>
      <c r="K17" s="64"/>
      <c r="L17" s="63"/>
      <c r="M17" s="64"/>
      <c r="N17" s="78">
        <v>0.8</v>
      </c>
      <c r="O17" s="79">
        <v>2.1</v>
      </c>
      <c r="P17" s="63"/>
      <c r="Q17" s="64"/>
      <c r="R17" s="63"/>
      <c r="S17" s="64"/>
      <c r="T17" s="63"/>
      <c r="U17" s="64"/>
      <c r="V17" s="63"/>
      <c r="W17" s="64"/>
      <c r="X17" s="63"/>
      <c r="Y17" s="64"/>
      <c r="Z17" s="63"/>
      <c r="AA17" s="64"/>
      <c r="AB17" s="63"/>
      <c r="AC17" s="64"/>
      <c r="AG17" s="1"/>
      <c r="AH17" s="1"/>
      <c r="AI17" s="1"/>
      <c r="AJ17" s="1"/>
      <c r="AK17" s="1"/>
      <c r="AL17" s="1"/>
      <c r="AM17" s="1"/>
      <c r="AN17" s="1"/>
    </row>
    <row r="18" spans="1:40">
      <c r="A18" s="50" t="s">
        <v>114</v>
      </c>
      <c r="B18" s="6">
        <v>0.85</v>
      </c>
      <c r="C18" s="6">
        <v>2.0499999999999998</v>
      </c>
      <c r="D18" s="6">
        <f t="shared" si="3"/>
        <v>5.8</v>
      </c>
      <c r="E18" s="4">
        <f t="shared" si="1"/>
        <v>19.72</v>
      </c>
      <c r="F18" s="63"/>
      <c r="G18" s="64"/>
      <c r="H18" s="63"/>
      <c r="I18" s="64"/>
      <c r="J18" s="63"/>
      <c r="K18" s="64"/>
      <c r="L18" s="63"/>
      <c r="M18" s="64"/>
      <c r="N18" s="63"/>
      <c r="O18" s="64"/>
      <c r="P18" s="63"/>
      <c r="Q18" s="64"/>
      <c r="R18" s="63"/>
      <c r="S18" s="64"/>
      <c r="T18" s="63"/>
      <c r="U18" s="64"/>
      <c r="V18" s="63"/>
      <c r="W18" s="64"/>
      <c r="X18" s="63"/>
      <c r="Y18" s="64"/>
      <c r="Z18" s="63"/>
      <c r="AA18" s="64"/>
      <c r="AB18" s="63"/>
      <c r="AC18" s="64"/>
      <c r="AG18" s="1"/>
      <c r="AH18" s="1"/>
      <c r="AI18" s="1"/>
      <c r="AJ18" s="1"/>
      <c r="AK18" s="1"/>
      <c r="AL18" s="1"/>
      <c r="AM18" s="1"/>
      <c r="AN18" s="1"/>
    </row>
    <row r="19" spans="1:40">
      <c r="A19" s="50" t="s">
        <v>119</v>
      </c>
      <c r="B19" s="9"/>
      <c r="C19" s="9"/>
      <c r="D19" s="6">
        <v>25.76</v>
      </c>
      <c r="E19" s="4">
        <f t="shared" si="1"/>
        <v>81.494</v>
      </c>
      <c r="F19" s="63"/>
      <c r="G19" s="64"/>
      <c r="H19" s="63"/>
      <c r="I19" s="64"/>
      <c r="J19" s="63"/>
      <c r="K19" s="64"/>
      <c r="L19" s="63"/>
      <c r="M19" s="64"/>
      <c r="N19" s="78">
        <v>2.1</v>
      </c>
      <c r="O19" s="79">
        <v>2.1</v>
      </c>
      <c r="P19" s="78">
        <v>0.8</v>
      </c>
      <c r="Q19" s="79">
        <v>2.1</v>
      </c>
      <c r="R19" s="63"/>
      <c r="S19" s="64"/>
      <c r="T19" s="63"/>
      <c r="U19" s="64"/>
      <c r="V19" s="63"/>
      <c r="W19" s="64"/>
      <c r="X19" s="63"/>
      <c r="Y19" s="64"/>
      <c r="Z19" s="63"/>
      <c r="AA19" s="64"/>
      <c r="AB19" s="63"/>
      <c r="AC19" s="64"/>
      <c r="AG19" s="1"/>
      <c r="AH19" s="1"/>
      <c r="AI19" s="1"/>
      <c r="AJ19" s="1"/>
      <c r="AK19" s="1"/>
      <c r="AL19" s="1"/>
      <c r="AM19" s="1"/>
      <c r="AN19" s="1"/>
    </row>
    <row r="20" spans="1:40">
      <c r="A20" s="50" t="s">
        <v>117</v>
      </c>
      <c r="B20" s="6">
        <v>2.35</v>
      </c>
      <c r="C20" s="6">
        <v>1.95</v>
      </c>
      <c r="D20" s="6">
        <f t="shared" ref="D20:D24" si="4">2*(B20+C20)</f>
        <v>8.6</v>
      </c>
      <c r="E20" s="4">
        <f t="shared" si="1"/>
        <v>27.349999999999998</v>
      </c>
      <c r="F20" s="63"/>
      <c r="G20" s="64"/>
      <c r="H20" s="63"/>
      <c r="I20" s="64"/>
      <c r="J20" s="63"/>
      <c r="K20" s="64"/>
      <c r="L20" s="63"/>
      <c r="M20" s="64"/>
      <c r="N20" s="78">
        <v>0.9</v>
      </c>
      <c r="O20" s="79">
        <v>2.1</v>
      </c>
      <c r="P20" s="63"/>
      <c r="Q20" s="64"/>
      <c r="R20" s="63"/>
      <c r="S20" s="64"/>
      <c r="T20" s="63"/>
      <c r="U20" s="64"/>
      <c r="V20" s="63"/>
      <c r="W20" s="64"/>
      <c r="X20" s="63"/>
      <c r="Y20" s="64"/>
      <c r="Z20" s="63"/>
      <c r="AA20" s="64"/>
      <c r="AB20" s="63"/>
      <c r="AC20" s="64"/>
      <c r="AG20" s="1"/>
      <c r="AH20" s="1"/>
      <c r="AI20" s="1"/>
      <c r="AJ20" s="1"/>
      <c r="AK20" s="1"/>
      <c r="AL20" s="1"/>
      <c r="AM20" s="1"/>
      <c r="AN20" s="1"/>
    </row>
    <row r="21" spans="1:40">
      <c r="A21" s="50" t="s">
        <v>114</v>
      </c>
      <c r="B21" s="6">
        <v>1.5</v>
      </c>
      <c r="C21" s="6">
        <v>1.95</v>
      </c>
      <c r="D21" s="6">
        <f t="shared" si="4"/>
        <v>6.9</v>
      </c>
      <c r="E21" s="4">
        <f t="shared" si="1"/>
        <v>23.46</v>
      </c>
      <c r="F21" s="63"/>
      <c r="G21" s="64"/>
      <c r="H21" s="63"/>
      <c r="I21" s="64"/>
      <c r="J21" s="63"/>
      <c r="K21" s="64"/>
      <c r="L21" s="63"/>
      <c r="M21" s="64"/>
      <c r="N21" s="63"/>
      <c r="O21" s="64"/>
      <c r="P21" s="63"/>
      <c r="Q21" s="64"/>
      <c r="R21" s="63"/>
      <c r="S21" s="64"/>
      <c r="T21" s="63"/>
      <c r="U21" s="64"/>
      <c r="V21" s="63"/>
      <c r="W21" s="64"/>
      <c r="X21" s="63"/>
      <c r="Y21" s="64"/>
      <c r="Z21" s="63"/>
      <c r="AA21" s="64"/>
      <c r="AB21" s="63"/>
      <c r="AC21" s="64"/>
      <c r="AG21" s="1"/>
      <c r="AH21" s="1"/>
      <c r="AI21" s="1"/>
      <c r="AJ21" s="1"/>
      <c r="AK21" s="1"/>
      <c r="AL21" s="1"/>
      <c r="AM21" s="1"/>
      <c r="AN21" s="1"/>
    </row>
    <row r="22" spans="1:40">
      <c r="A22" s="50" t="s">
        <v>110</v>
      </c>
      <c r="B22" s="6">
        <v>2.9</v>
      </c>
      <c r="C22" s="6">
        <v>1.95</v>
      </c>
      <c r="D22" s="6">
        <f t="shared" si="4"/>
        <v>9.6999999999999993</v>
      </c>
      <c r="E22" s="4">
        <f t="shared" si="1"/>
        <v>30.669999999999995</v>
      </c>
      <c r="F22" s="63"/>
      <c r="G22" s="64"/>
      <c r="H22" s="63"/>
      <c r="I22" s="64"/>
      <c r="J22" s="63"/>
      <c r="K22" s="64"/>
      <c r="L22" s="63"/>
      <c r="M22" s="64"/>
      <c r="N22" s="78">
        <v>1.1000000000000001</v>
      </c>
      <c r="O22" s="79">
        <v>2.1</v>
      </c>
      <c r="P22" s="63"/>
      <c r="Q22" s="64"/>
      <c r="R22" s="63"/>
      <c r="S22" s="64"/>
      <c r="T22" s="63"/>
      <c r="U22" s="64"/>
      <c r="V22" s="63"/>
      <c r="W22" s="64"/>
      <c r="X22" s="63"/>
      <c r="Y22" s="64"/>
      <c r="Z22" s="63"/>
      <c r="AA22" s="64"/>
      <c r="AB22" s="63"/>
      <c r="AC22" s="64"/>
      <c r="AG22" s="1"/>
      <c r="AH22" s="1"/>
      <c r="AI22" s="1"/>
      <c r="AJ22" s="1"/>
      <c r="AK22" s="1"/>
      <c r="AL22" s="1"/>
      <c r="AM22" s="1"/>
      <c r="AN22" s="1"/>
    </row>
    <row r="23" spans="1:40">
      <c r="A23" s="50" t="s">
        <v>5</v>
      </c>
      <c r="B23" s="6">
        <v>1.6</v>
      </c>
      <c r="C23" s="6">
        <v>2.35</v>
      </c>
      <c r="D23" s="6">
        <f t="shared" si="4"/>
        <v>7.9</v>
      </c>
      <c r="E23" s="4">
        <f t="shared" si="1"/>
        <v>25.18</v>
      </c>
      <c r="F23" s="63"/>
      <c r="G23" s="64"/>
      <c r="H23" s="63"/>
      <c r="I23" s="64"/>
      <c r="J23" s="63"/>
      <c r="K23" s="64"/>
      <c r="L23" s="63"/>
      <c r="M23" s="64"/>
      <c r="N23" s="78">
        <v>0.8</v>
      </c>
      <c r="O23" s="79">
        <v>2.1</v>
      </c>
      <c r="P23" s="63"/>
      <c r="Q23" s="64"/>
      <c r="R23" s="63"/>
      <c r="S23" s="64"/>
      <c r="T23" s="63"/>
      <c r="U23" s="64"/>
      <c r="V23" s="63"/>
      <c r="W23" s="64"/>
      <c r="X23" s="63"/>
      <c r="Y23" s="64"/>
      <c r="Z23" s="63"/>
      <c r="AA23" s="64"/>
      <c r="AB23" s="63"/>
      <c r="AC23" s="64"/>
      <c r="AG23" s="1"/>
      <c r="AH23" s="1"/>
      <c r="AI23" s="1"/>
      <c r="AJ23" s="1"/>
      <c r="AK23" s="1"/>
      <c r="AL23" s="1"/>
      <c r="AM23" s="1"/>
      <c r="AN23" s="1"/>
    </row>
    <row r="24" spans="1:40">
      <c r="A24" s="50" t="s">
        <v>117</v>
      </c>
      <c r="B24" s="6">
        <v>1.8</v>
      </c>
      <c r="C24" s="6">
        <v>2.35</v>
      </c>
      <c r="D24" s="6">
        <f t="shared" si="4"/>
        <v>8.3000000000000007</v>
      </c>
      <c r="E24" s="4">
        <f t="shared" si="1"/>
        <v>26.330000000000002</v>
      </c>
      <c r="F24" s="63"/>
      <c r="G24" s="64"/>
      <c r="H24" s="63"/>
      <c r="I24" s="64"/>
      <c r="J24" s="63"/>
      <c r="K24" s="64"/>
      <c r="L24" s="63"/>
      <c r="M24" s="64"/>
      <c r="N24" s="78">
        <v>0.9</v>
      </c>
      <c r="O24" s="79">
        <v>2.1</v>
      </c>
      <c r="P24" s="63"/>
      <c r="Q24" s="64"/>
      <c r="R24" s="63"/>
      <c r="S24" s="64"/>
      <c r="T24" s="63"/>
      <c r="U24" s="64"/>
      <c r="V24" s="63"/>
      <c r="W24" s="64"/>
      <c r="X24" s="63"/>
      <c r="Y24" s="64"/>
      <c r="Z24" s="63"/>
      <c r="AA24" s="64"/>
      <c r="AB24" s="63"/>
      <c r="AC24" s="64"/>
      <c r="AG24" s="1"/>
      <c r="AH24" s="1"/>
      <c r="AI24" s="1"/>
      <c r="AJ24" s="1"/>
      <c r="AK24" s="1"/>
      <c r="AL24" s="1"/>
      <c r="AM24" s="1"/>
      <c r="AN24" s="1"/>
    </row>
    <row r="25" spans="1:40">
      <c r="A25" s="50" t="s">
        <v>124</v>
      </c>
      <c r="B25" s="9"/>
      <c r="C25" s="9"/>
      <c r="D25" s="6">
        <v>23.2</v>
      </c>
      <c r="E25" s="4">
        <f t="shared" si="1"/>
        <v>70.143999999999991</v>
      </c>
      <c r="F25" s="63"/>
      <c r="G25" s="64"/>
      <c r="H25" s="63"/>
      <c r="I25" s="64"/>
      <c r="J25" s="63"/>
      <c r="K25" s="64"/>
      <c r="L25" s="63"/>
      <c r="M25" s="64"/>
      <c r="N25" s="78">
        <v>0.8</v>
      </c>
      <c r="O25" s="79">
        <v>2.1</v>
      </c>
      <c r="P25" s="78">
        <v>0.9</v>
      </c>
      <c r="Q25" s="79">
        <v>2.1</v>
      </c>
      <c r="R25" s="78">
        <v>0.9</v>
      </c>
      <c r="S25" s="79">
        <v>2.1</v>
      </c>
      <c r="T25" s="63"/>
      <c r="U25" s="64"/>
      <c r="V25" s="63"/>
      <c r="W25" s="64"/>
      <c r="X25" s="63"/>
      <c r="Y25" s="64"/>
      <c r="Z25" s="63"/>
      <c r="AA25" s="64"/>
      <c r="AB25" s="78">
        <v>1.56</v>
      </c>
      <c r="AC25" s="79">
        <v>2.1</v>
      </c>
      <c r="AG25" s="1"/>
      <c r="AH25" s="1"/>
      <c r="AI25" s="1"/>
      <c r="AJ25" s="1"/>
      <c r="AK25" s="1"/>
      <c r="AL25" s="1"/>
      <c r="AM25" s="1"/>
      <c r="AN25" s="1"/>
    </row>
    <row r="26" spans="1:40">
      <c r="A26" s="50" t="s">
        <v>116</v>
      </c>
      <c r="B26" s="6">
        <v>2.17</v>
      </c>
      <c r="C26" s="6">
        <v>4.5</v>
      </c>
      <c r="D26" s="6">
        <f t="shared" ref="D26:D28" si="5">2*(B26+C26)</f>
        <v>13.34</v>
      </c>
      <c r="E26" s="4">
        <f t="shared" si="1"/>
        <v>39.875</v>
      </c>
      <c r="F26" s="63"/>
      <c r="G26" s="64"/>
      <c r="H26" s="63"/>
      <c r="I26" s="64"/>
      <c r="J26" s="63"/>
      <c r="K26" s="64"/>
      <c r="L26" s="63"/>
      <c r="M26" s="64"/>
      <c r="N26" s="63"/>
      <c r="O26" s="64"/>
      <c r="P26" s="63"/>
      <c r="Q26" s="64"/>
      <c r="R26" s="63"/>
      <c r="S26" s="64"/>
      <c r="T26" s="63"/>
      <c r="U26" s="64"/>
      <c r="V26" s="63"/>
      <c r="W26" s="64"/>
      <c r="X26" s="63"/>
      <c r="Y26" s="64"/>
      <c r="Z26" s="78">
        <v>1.05</v>
      </c>
      <c r="AA26" s="79">
        <v>2.1</v>
      </c>
      <c r="AB26" s="78">
        <v>1.56</v>
      </c>
      <c r="AC26" s="79">
        <v>2.1</v>
      </c>
      <c r="AG26" s="1"/>
      <c r="AH26" s="1"/>
      <c r="AI26" s="1"/>
      <c r="AJ26" s="1"/>
      <c r="AK26" s="1"/>
      <c r="AL26" s="1"/>
      <c r="AM26" s="1"/>
      <c r="AN26" s="1"/>
    </row>
    <row r="27" spans="1:40">
      <c r="A27" s="50" t="s">
        <v>125</v>
      </c>
      <c r="B27" s="6">
        <v>7</v>
      </c>
      <c r="C27" s="6">
        <v>3.45</v>
      </c>
      <c r="D27" s="6">
        <f t="shared" si="5"/>
        <v>20.9</v>
      </c>
      <c r="E27" s="4">
        <f t="shared" si="1"/>
        <v>64.85499999999999</v>
      </c>
      <c r="F27" s="78">
        <v>2</v>
      </c>
      <c r="G27" s="79">
        <v>1</v>
      </c>
      <c r="H27" s="78">
        <v>2</v>
      </c>
      <c r="I27" s="79">
        <v>1</v>
      </c>
      <c r="J27" s="63"/>
      <c r="K27" s="64"/>
      <c r="L27" s="63"/>
      <c r="M27" s="64"/>
      <c r="N27" s="63"/>
      <c r="O27" s="64"/>
      <c r="P27" s="63"/>
      <c r="Q27" s="64"/>
      <c r="R27" s="63"/>
      <c r="S27" s="64"/>
      <c r="T27" s="63"/>
      <c r="U27" s="64"/>
      <c r="V27" s="63"/>
      <c r="W27" s="64"/>
      <c r="X27" s="63"/>
      <c r="Y27" s="64"/>
      <c r="Z27" s="78">
        <v>1.05</v>
      </c>
      <c r="AA27" s="79">
        <v>2.1</v>
      </c>
      <c r="AB27" s="63"/>
      <c r="AC27" s="64"/>
      <c r="AG27" s="1"/>
      <c r="AH27" s="1"/>
      <c r="AI27" s="1"/>
      <c r="AJ27" s="1"/>
      <c r="AK27" s="1"/>
      <c r="AL27" s="1"/>
      <c r="AM27" s="1"/>
      <c r="AN27" s="1"/>
    </row>
    <row r="28" spans="1:40">
      <c r="A28" s="50" t="s">
        <v>120</v>
      </c>
      <c r="B28" s="6">
        <v>8.8000000000000007</v>
      </c>
      <c r="C28" s="6">
        <v>12.7</v>
      </c>
      <c r="D28" s="6">
        <f t="shared" si="5"/>
        <v>43</v>
      </c>
      <c r="E28" s="4">
        <f t="shared" si="1"/>
        <v>132.95999999999998</v>
      </c>
      <c r="F28" s="78">
        <v>2</v>
      </c>
      <c r="G28" s="79">
        <v>1</v>
      </c>
      <c r="H28" s="78">
        <v>2</v>
      </c>
      <c r="I28" s="79">
        <v>1</v>
      </c>
      <c r="J28" s="63"/>
      <c r="K28" s="64"/>
      <c r="L28" s="63"/>
      <c r="M28" s="64"/>
      <c r="N28" s="63"/>
      <c r="O28" s="64"/>
      <c r="P28" s="63"/>
      <c r="Q28" s="64"/>
      <c r="R28" s="63"/>
      <c r="S28" s="64"/>
      <c r="T28" s="63"/>
      <c r="U28" s="64"/>
      <c r="V28" s="63"/>
      <c r="W28" s="64"/>
      <c r="X28" s="63"/>
      <c r="Y28" s="64"/>
      <c r="Z28" s="78">
        <v>2.2000000000000002</v>
      </c>
      <c r="AA28" s="79">
        <v>2.1</v>
      </c>
      <c r="AB28" s="78">
        <v>2.2000000000000002</v>
      </c>
      <c r="AC28" s="79">
        <v>2.1</v>
      </c>
      <c r="AG28" s="1"/>
      <c r="AH28" s="1"/>
      <c r="AI28" s="1"/>
      <c r="AJ28" s="1"/>
      <c r="AK28" s="1"/>
      <c r="AL28" s="1"/>
      <c r="AM28" s="1"/>
      <c r="AN28" s="1"/>
    </row>
    <row r="29" spans="1:40">
      <c r="A29" s="50" t="s">
        <v>4</v>
      </c>
      <c r="B29" s="9"/>
      <c r="C29" s="9"/>
      <c r="D29" s="6">
        <v>125.2</v>
      </c>
      <c r="E29" s="4">
        <f t="shared" si="1"/>
        <v>339.69</v>
      </c>
      <c r="F29" s="78">
        <v>2</v>
      </c>
      <c r="G29" s="79">
        <v>1</v>
      </c>
      <c r="H29" s="63"/>
      <c r="I29" s="64"/>
      <c r="J29" s="63"/>
      <c r="K29" s="64"/>
      <c r="L29" s="63"/>
      <c r="M29" s="64"/>
      <c r="N29" s="78">
        <f>6*2.1</f>
        <v>12.600000000000001</v>
      </c>
      <c r="O29" s="79">
        <v>2.1</v>
      </c>
      <c r="P29" s="78">
        <f>5*0.8</f>
        <v>4</v>
      </c>
      <c r="Q29" s="79">
        <v>2.1</v>
      </c>
      <c r="R29" s="78">
        <f>1.1*3</f>
        <v>3.3000000000000003</v>
      </c>
      <c r="S29" s="79">
        <v>2.1</v>
      </c>
      <c r="T29" s="78">
        <v>1.1000000000000001</v>
      </c>
      <c r="U29" s="79">
        <v>2.1</v>
      </c>
      <c r="V29" s="63"/>
      <c r="W29" s="64"/>
      <c r="X29" s="78">
        <v>1.75</v>
      </c>
      <c r="Y29" s="79">
        <v>1</v>
      </c>
      <c r="Z29" s="78">
        <f>2.2+2.2</f>
        <v>4.4000000000000004</v>
      </c>
      <c r="AA29" s="79">
        <v>2.1</v>
      </c>
      <c r="AB29" s="78">
        <f>6.6+1.9</f>
        <v>8.5</v>
      </c>
      <c r="AC29" s="79">
        <v>3.4</v>
      </c>
      <c r="AG29" s="1"/>
      <c r="AH29" s="1"/>
      <c r="AI29" s="1"/>
      <c r="AJ29" s="1"/>
      <c r="AK29" s="1"/>
      <c r="AL29" s="1"/>
      <c r="AM29" s="1"/>
      <c r="AN29" s="1"/>
    </row>
    <row r="30" spans="1:40">
      <c r="A30" s="50" t="s">
        <v>126</v>
      </c>
      <c r="B30" s="9"/>
      <c r="C30" s="9"/>
      <c r="D30" s="6">
        <v>17.71</v>
      </c>
      <c r="E30" s="4">
        <f t="shared" si="1"/>
        <v>49.393999999999998</v>
      </c>
      <c r="F30" s="78">
        <v>2</v>
      </c>
      <c r="G30" s="79">
        <v>1</v>
      </c>
      <c r="H30" s="63"/>
      <c r="I30" s="64"/>
      <c r="J30" s="63"/>
      <c r="K30" s="64"/>
      <c r="L30" s="63"/>
      <c r="M30" s="64"/>
      <c r="N30" s="78">
        <v>0.9</v>
      </c>
      <c r="O30" s="79">
        <v>2.1</v>
      </c>
      <c r="P30" s="78">
        <v>1.1000000000000001</v>
      </c>
      <c r="Q30" s="79">
        <v>2.1</v>
      </c>
      <c r="R30" s="78">
        <v>1.1000000000000001</v>
      </c>
      <c r="S30" s="79">
        <v>2.1</v>
      </c>
      <c r="T30" s="78">
        <v>1.1000000000000001</v>
      </c>
      <c r="U30" s="79">
        <v>2.1</v>
      </c>
      <c r="V30" s="63"/>
      <c r="W30" s="64"/>
      <c r="X30" s="63"/>
      <c r="Y30" s="64"/>
      <c r="Z30" s="63"/>
      <c r="AA30" s="64"/>
      <c r="AB30" s="63"/>
      <c r="AC30" s="64"/>
      <c r="AG30" s="1"/>
      <c r="AH30" s="1"/>
      <c r="AI30" s="1"/>
      <c r="AJ30" s="1"/>
      <c r="AK30" s="1"/>
      <c r="AL30" s="1"/>
      <c r="AM30" s="1"/>
      <c r="AN30" s="1"/>
    </row>
    <row r="31" spans="1:40">
      <c r="A31" s="50" t="s">
        <v>117</v>
      </c>
      <c r="B31" s="6">
        <v>1.8</v>
      </c>
      <c r="C31" s="6">
        <v>1.8</v>
      </c>
      <c r="D31" s="6">
        <f t="shared" ref="D31" si="6">2*(B31+C31)</f>
        <v>7.2</v>
      </c>
      <c r="E31" s="4">
        <f t="shared" si="1"/>
        <v>22.59</v>
      </c>
      <c r="F31" s="63"/>
      <c r="G31" s="64"/>
      <c r="H31" s="63"/>
      <c r="I31" s="64"/>
      <c r="J31" s="63"/>
      <c r="K31" s="64"/>
      <c r="L31" s="63"/>
      <c r="M31" s="64"/>
      <c r="N31" s="78">
        <v>0.9</v>
      </c>
      <c r="O31" s="79">
        <v>2.1</v>
      </c>
      <c r="P31" s="63"/>
      <c r="Q31" s="64"/>
      <c r="R31" s="63"/>
      <c r="S31" s="64"/>
      <c r="T31" s="63"/>
      <c r="U31" s="64"/>
      <c r="V31" s="63"/>
      <c r="W31" s="64"/>
      <c r="X31" s="63"/>
      <c r="Y31" s="64"/>
      <c r="Z31" s="63"/>
      <c r="AA31" s="64"/>
      <c r="AB31" s="63"/>
      <c r="AC31" s="64"/>
      <c r="AG31" s="1"/>
      <c r="AH31" s="1"/>
      <c r="AI31" s="1"/>
      <c r="AJ31" s="1"/>
      <c r="AK31" s="1"/>
      <c r="AL31" s="1"/>
      <c r="AM31" s="1"/>
      <c r="AN31" s="1"/>
    </row>
    <row r="32" spans="1:40">
      <c r="A32" s="50" t="s">
        <v>127</v>
      </c>
      <c r="B32" s="9"/>
      <c r="C32" s="9"/>
      <c r="D32" s="6">
        <v>17.71</v>
      </c>
      <c r="E32" s="4">
        <f t="shared" si="1"/>
        <v>51.393999999999998</v>
      </c>
      <c r="F32" s="63"/>
      <c r="G32" s="64"/>
      <c r="H32" s="63"/>
      <c r="I32" s="64"/>
      <c r="J32" s="63"/>
      <c r="K32" s="64"/>
      <c r="L32" s="63"/>
      <c r="M32" s="64"/>
      <c r="N32" s="78">
        <v>0.9</v>
      </c>
      <c r="O32" s="79">
        <v>2.1</v>
      </c>
      <c r="P32" s="78">
        <v>1.1000000000000001</v>
      </c>
      <c r="Q32" s="79">
        <v>2.1</v>
      </c>
      <c r="R32" s="78">
        <v>1.1000000000000001</v>
      </c>
      <c r="S32" s="79">
        <v>2.1</v>
      </c>
      <c r="T32" s="78">
        <v>1.1000000000000001</v>
      </c>
      <c r="U32" s="79">
        <v>2.1</v>
      </c>
      <c r="V32" s="63"/>
      <c r="W32" s="64"/>
      <c r="X32" s="63"/>
      <c r="Y32" s="64"/>
      <c r="Z32" s="63"/>
      <c r="AA32" s="64"/>
      <c r="AB32" s="63"/>
      <c r="AC32" s="64"/>
      <c r="AG32" s="1"/>
      <c r="AH32" s="1"/>
      <c r="AI32" s="1"/>
      <c r="AJ32" s="1"/>
      <c r="AK32" s="1"/>
      <c r="AL32" s="1"/>
      <c r="AM32" s="1"/>
      <c r="AN32" s="1"/>
    </row>
    <row r="33" spans="1:40">
      <c r="A33" s="50" t="s">
        <v>117</v>
      </c>
      <c r="B33" s="6">
        <v>1.8</v>
      </c>
      <c r="C33" s="6">
        <v>1.8</v>
      </c>
      <c r="D33" s="6">
        <f t="shared" ref="D33" si="7">2*(B33+C33)</f>
        <v>7.2</v>
      </c>
      <c r="E33" s="4">
        <f t="shared" si="1"/>
        <v>22.59</v>
      </c>
      <c r="F33" s="63"/>
      <c r="G33" s="64"/>
      <c r="H33" s="63"/>
      <c r="I33" s="64"/>
      <c r="J33" s="63"/>
      <c r="K33" s="64"/>
      <c r="L33" s="63"/>
      <c r="M33" s="64"/>
      <c r="N33" s="78">
        <v>0.9</v>
      </c>
      <c r="O33" s="79">
        <v>2.1</v>
      </c>
      <c r="P33" s="63"/>
      <c r="Q33" s="64"/>
      <c r="R33" s="63"/>
      <c r="S33" s="64"/>
      <c r="T33" s="63"/>
      <c r="U33" s="64"/>
      <c r="V33" s="63"/>
      <c r="W33" s="64"/>
      <c r="X33" s="63"/>
      <c r="Y33" s="64"/>
      <c r="Z33" s="63"/>
      <c r="AA33" s="64"/>
      <c r="AB33" s="63"/>
      <c r="AC33" s="64"/>
      <c r="AG33" s="1"/>
      <c r="AH33" s="1"/>
      <c r="AI33" s="1"/>
      <c r="AJ33" s="1"/>
      <c r="AK33" s="1"/>
      <c r="AL33" s="1"/>
      <c r="AM33" s="1"/>
      <c r="AN33" s="1"/>
    </row>
    <row r="34" spans="1:40">
      <c r="A34" s="50" t="s">
        <v>128</v>
      </c>
      <c r="B34" s="9"/>
      <c r="C34" s="9"/>
      <c r="D34" s="6">
        <v>58.94</v>
      </c>
      <c r="E34" s="4">
        <f t="shared" si="1"/>
        <v>173.55599999999998</v>
      </c>
      <c r="F34" s="78">
        <v>2</v>
      </c>
      <c r="G34" s="79">
        <v>1</v>
      </c>
      <c r="H34" s="78">
        <v>11.55</v>
      </c>
      <c r="I34" s="79">
        <v>1</v>
      </c>
      <c r="J34" s="78">
        <v>3.35</v>
      </c>
      <c r="K34" s="79">
        <v>1</v>
      </c>
      <c r="L34" s="63"/>
      <c r="M34" s="64"/>
      <c r="N34" s="78">
        <v>0.9</v>
      </c>
      <c r="O34" s="79">
        <v>2.1</v>
      </c>
      <c r="P34" s="78">
        <v>0.9</v>
      </c>
      <c r="Q34" s="79">
        <v>2.1</v>
      </c>
      <c r="R34" s="78">
        <v>2.1</v>
      </c>
      <c r="S34" s="79">
        <v>2.1</v>
      </c>
      <c r="T34" s="63"/>
      <c r="U34" s="64"/>
      <c r="V34" s="63"/>
      <c r="W34" s="64"/>
      <c r="X34" s="63"/>
      <c r="Y34" s="64"/>
      <c r="Z34" s="63"/>
      <c r="AA34" s="64"/>
      <c r="AB34" s="78">
        <v>1.75</v>
      </c>
      <c r="AC34" s="79">
        <v>1</v>
      </c>
      <c r="AG34" s="1"/>
      <c r="AH34" s="1"/>
      <c r="AI34" s="1"/>
      <c r="AJ34" s="1"/>
      <c r="AK34" s="1"/>
      <c r="AL34" s="1"/>
      <c r="AM34" s="1"/>
      <c r="AN34" s="1"/>
    </row>
    <row r="35" spans="1:40">
      <c r="A35" s="50" t="s">
        <v>129</v>
      </c>
      <c r="B35" s="6">
        <v>4.55</v>
      </c>
      <c r="C35" s="6">
        <v>2.75</v>
      </c>
      <c r="D35" s="6">
        <f t="shared" ref="D35:D44" si="8">2*(B35+C35)</f>
        <v>14.6</v>
      </c>
      <c r="E35" s="4">
        <f t="shared" si="1"/>
        <v>47.33</v>
      </c>
      <c r="F35" s="63"/>
      <c r="G35" s="64"/>
      <c r="H35" s="63"/>
      <c r="I35" s="64"/>
      <c r="J35" s="63"/>
      <c r="K35" s="64"/>
      <c r="L35" s="63"/>
      <c r="M35" s="64"/>
      <c r="N35" s="78">
        <v>1.1000000000000001</v>
      </c>
      <c r="O35" s="79">
        <v>2.1</v>
      </c>
      <c r="P35" s="63"/>
      <c r="Q35" s="64"/>
      <c r="R35" s="63"/>
      <c r="S35" s="64"/>
      <c r="T35" s="63"/>
      <c r="U35" s="64"/>
      <c r="V35" s="63"/>
      <c r="W35" s="64"/>
      <c r="X35" s="63"/>
      <c r="Y35" s="64"/>
      <c r="Z35" s="63"/>
      <c r="AA35" s="64"/>
      <c r="AB35" s="63"/>
      <c r="AC35" s="64"/>
      <c r="AG35" s="1"/>
      <c r="AH35" s="1"/>
      <c r="AI35" s="1"/>
      <c r="AJ35" s="1"/>
      <c r="AK35" s="1"/>
      <c r="AL35" s="1"/>
      <c r="AM35" s="1"/>
      <c r="AN35" s="1"/>
    </row>
    <row r="36" spans="1:40">
      <c r="A36" s="50" t="s">
        <v>117</v>
      </c>
      <c r="B36" s="6">
        <v>2.8</v>
      </c>
      <c r="C36" s="6">
        <v>1.8</v>
      </c>
      <c r="D36" s="6">
        <f t="shared" si="8"/>
        <v>9.1999999999999993</v>
      </c>
      <c r="E36" s="4">
        <f t="shared" si="1"/>
        <v>29.389999999999997</v>
      </c>
      <c r="F36" s="63"/>
      <c r="G36" s="64"/>
      <c r="H36" s="63"/>
      <c r="I36" s="64"/>
      <c r="J36" s="63"/>
      <c r="K36" s="64"/>
      <c r="L36" s="63"/>
      <c r="M36" s="64"/>
      <c r="N36" s="78">
        <v>0.9</v>
      </c>
      <c r="O36" s="79">
        <v>2.1</v>
      </c>
      <c r="P36" s="63"/>
      <c r="Q36" s="64"/>
      <c r="R36" s="63"/>
      <c r="S36" s="64"/>
      <c r="T36" s="63"/>
      <c r="U36" s="64"/>
      <c r="V36" s="63"/>
      <c r="W36" s="64"/>
      <c r="X36" s="63"/>
      <c r="Y36" s="64"/>
      <c r="Z36" s="63"/>
      <c r="AA36" s="64"/>
      <c r="AB36" s="63"/>
      <c r="AC36" s="64"/>
      <c r="AG36" s="3"/>
      <c r="AH36" s="3"/>
      <c r="AI36" s="3"/>
      <c r="AJ36" s="3"/>
      <c r="AK36" s="3"/>
      <c r="AL36" s="3"/>
      <c r="AM36" s="3"/>
      <c r="AN36" s="3"/>
    </row>
    <row r="37" spans="1:40">
      <c r="A37" s="50" t="s">
        <v>117</v>
      </c>
      <c r="B37" s="6">
        <v>2.8</v>
      </c>
      <c r="C37" s="6">
        <v>1.8</v>
      </c>
      <c r="D37" s="6">
        <f t="shared" si="8"/>
        <v>9.1999999999999993</v>
      </c>
      <c r="E37" s="4">
        <f t="shared" si="1"/>
        <v>29.389999999999997</v>
      </c>
      <c r="F37" s="63"/>
      <c r="G37" s="64"/>
      <c r="H37" s="63"/>
      <c r="I37" s="64"/>
      <c r="J37" s="63"/>
      <c r="K37" s="64"/>
      <c r="L37" s="63"/>
      <c r="M37" s="64"/>
      <c r="N37" s="78">
        <v>0.9</v>
      </c>
      <c r="O37" s="79">
        <v>2.1</v>
      </c>
      <c r="P37" s="63"/>
      <c r="Q37" s="64"/>
      <c r="R37" s="63"/>
      <c r="S37" s="64"/>
      <c r="T37" s="63"/>
      <c r="U37" s="64"/>
      <c r="V37" s="63"/>
      <c r="W37" s="64"/>
      <c r="X37" s="63"/>
      <c r="Y37" s="64"/>
      <c r="Z37" s="63"/>
      <c r="AA37" s="64"/>
      <c r="AB37" s="63"/>
      <c r="AC37" s="64"/>
    </row>
    <row r="38" spans="1:40">
      <c r="A38" s="50" t="s">
        <v>108</v>
      </c>
      <c r="B38" s="6">
        <v>1.65</v>
      </c>
      <c r="C38" s="6">
        <v>1.91</v>
      </c>
      <c r="D38" s="6">
        <f t="shared" si="8"/>
        <v>7.1199999999999992</v>
      </c>
      <c r="E38" s="4">
        <f t="shared" si="1"/>
        <v>21.099999999999998</v>
      </c>
      <c r="F38" s="63"/>
      <c r="G38" s="64"/>
      <c r="H38" s="63"/>
      <c r="I38" s="64"/>
      <c r="J38" s="63"/>
      <c r="K38" s="64"/>
      <c r="L38" s="63"/>
      <c r="M38" s="64"/>
      <c r="N38" s="78">
        <v>1.48</v>
      </c>
      <c r="O38" s="79">
        <v>2.1</v>
      </c>
      <c r="P38" s="63"/>
      <c r="Q38" s="64"/>
      <c r="R38" s="63"/>
      <c r="S38" s="64"/>
      <c r="T38" s="63"/>
      <c r="U38" s="64"/>
      <c r="V38" s="63"/>
      <c r="W38" s="64"/>
      <c r="X38" s="63"/>
      <c r="Y38" s="64"/>
      <c r="Z38" s="63"/>
      <c r="AA38" s="64"/>
      <c r="AB38" s="63"/>
      <c r="AC38" s="64"/>
    </row>
    <row r="39" spans="1:40">
      <c r="A39" s="50" t="s">
        <v>109</v>
      </c>
      <c r="B39" s="6">
        <v>1.65</v>
      </c>
      <c r="C39" s="6">
        <v>1.91</v>
      </c>
      <c r="D39" s="6">
        <f t="shared" si="8"/>
        <v>7.1199999999999992</v>
      </c>
      <c r="E39" s="4">
        <f t="shared" si="1"/>
        <v>21.099999999999998</v>
      </c>
      <c r="F39" s="63"/>
      <c r="G39" s="64"/>
      <c r="H39" s="63"/>
      <c r="I39" s="64"/>
      <c r="J39" s="63"/>
      <c r="K39" s="64"/>
      <c r="L39" s="63"/>
      <c r="M39" s="64"/>
      <c r="N39" s="78">
        <v>1.48</v>
      </c>
      <c r="O39" s="79">
        <v>2.1</v>
      </c>
      <c r="P39" s="63"/>
      <c r="Q39" s="64"/>
      <c r="R39" s="63"/>
      <c r="S39" s="64"/>
      <c r="T39" s="63"/>
      <c r="U39" s="64"/>
      <c r="V39" s="63"/>
      <c r="W39" s="64"/>
      <c r="X39" s="63"/>
      <c r="Y39" s="64"/>
      <c r="Z39" s="63"/>
      <c r="AA39" s="64"/>
      <c r="AB39" s="63"/>
      <c r="AC39" s="64"/>
    </row>
    <row r="40" spans="1:40">
      <c r="A40" s="50" t="s">
        <v>113</v>
      </c>
      <c r="B40" s="6">
        <v>1.6</v>
      </c>
      <c r="C40" s="6">
        <v>3.75</v>
      </c>
      <c r="D40" s="6">
        <f t="shared" si="8"/>
        <v>10.7</v>
      </c>
      <c r="E40" s="4">
        <f t="shared" si="1"/>
        <v>34.699999999999996</v>
      </c>
      <c r="F40" s="63"/>
      <c r="G40" s="64"/>
      <c r="H40" s="63"/>
      <c r="I40" s="64"/>
      <c r="J40" s="63"/>
      <c r="K40" s="64"/>
      <c r="L40" s="63"/>
      <c r="M40" s="64"/>
      <c r="N40" s="78">
        <v>0.8</v>
      </c>
      <c r="O40" s="79">
        <v>2.1</v>
      </c>
      <c r="P40" s="63"/>
      <c r="Q40" s="64"/>
      <c r="R40" s="63"/>
      <c r="S40" s="64"/>
      <c r="T40" s="63"/>
      <c r="U40" s="64"/>
      <c r="V40" s="63"/>
      <c r="W40" s="64"/>
      <c r="X40" s="63"/>
      <c r="Y40" s="64"/>
      <c r="Z40" s="63"/>
      <c r="AA40" s="64"/>
      <c r="AB40" s="63"/>
      <c r="AC40" s="64"/>
    </row>
    <row r="41" spans="1:40">
      <c r="A41" s="50" t="s">
        <v>115</v>
      </c>
      <c r="B41" s="6">
        <v>5.0999999999999996</v>
      </c>
      <c r="C41" s="6">
        <v>4.0199999999999996</v>
      </c>
      <c r="D41" s="6">
        <f t="shared" si="8"/>
        <v>18.239999999999998</v>
      </c>
      <c r="E41" s="4">
        <f t="shared" si="1"/>
        <v>44.609999999999992</v>
      </c>
      <c r="F41" s="78">
        <v>5.0999999999999996</v>
      </c>
      <c r="G41" s="79">
        <v>1</v>
      </c>
      <c r="H41" s="63"/>
      <c r="I41" s="64"/>
      <c r="J41" s="63"/>
      <c r="K41" s="64"/>
      <c r="L41" s="63"/>
      <c r="M41" s="64"/>
      <c r="N41" s="78">
        <v>1.48</v>
      </c>
      <c r="O41" s="79">
        <v>2.1</v>
      </c>
      <c r="P41" s="78">
        <v>1.48</v>
      </c>
      <c r="Q41" s="79">
        <v>2.1</v>
      </c>
      <c r="R41" s="78">
        <v>0.8</v>
      </c>
      <c r="S41" s="79">
        <v>2.1</v>
      </c>
      <c r="T41" s="78">
        <v>2.1</v>
      </c>
      <c r="U41" s="79">
        <v>2.1</v>
      </c>
      <c r="V41" s="63"/>
      <c r="W41" s="64"/>
      <c r="X41" s="63"/>
      <c r="Y41" s="64"/>
      <c r="Z41" s="63"/>
      <c r="AA41" s="64"/>
      <c r="AB41" s="63"/>
      <c r="AC41" s="64"/>
    </row>
    <row r="42" spans="1:40">
      <c r="A42" s="50" t="s">
        <v>111</v>
      </c>
      <c r="B42" s="6">
        <v>1.85</v>
      </c>
      <c r="C42" s="6">
        <v>4.5</v>
      </c>
      <c r="D42" s="6">
        <f t="shared" si="8"/>
        <v>12.7</v>
      </c>
      <c r="E42" s="4">
        <f t="shared" si="1"/>
        <v>39.65</v>
      </c>
      <c r="F42" s="78">
        <v>1.85</v>
      </c>
      <c r="G42" s="79">
        <v>1</v>
      </c>
      <c r="H42" s="63"/>
      <c r="I42" s="64"/>
      <c r="J42" s="63"/>
      <c r="K42" s="64"/>
      <c r="L42" s="63"/>
      <c r="M42" s="64"/>
      <c r="N42" s="78">
        <v>0.8</v>
      </c>
      <c r="O42" s="79">
        <v>2.1</v>
      </c>
      <c r="P42" s="63"/>
      <c r="Q42" s="64"/>
      <c r="R42" s="63"/>
      <c r="S42" s="64"/>
      <c r="T42" s="63"/>
      <c r="U42" s="64"/>
      <c r="V42" s="63"/>
      <c r="W42" s="64"/>
      <c r="X42" s="63"/>
      <c r="Y42" s="64"/>
      <c r="Z42" s="63"/>
      <c r="AA42" s="64"/>
      <c r="AB42" s="63"/>
      <c r="AC42" s="64"/>
    </row>
    <row r="43" spans="1:40">
      <c r="A43" s="50" t="s">
        <v>117</v>
      </c>
      <c r="B43" s="6">
        <v>2</v>
      </c>
      <c r="C43" s="6">
        <v>3.35</v>
      </c>
      <c r="D43" s="6">
        <f t="shared" si="8"/>
        <v>10.7</v>
      </c>
      <c r="E43" s="4">
        <f t="shared" si="1"/>
        <v>32.489999999999995</v>
      </c>
      <c r="F43" s="78">
        <v>2</v>
      </c>
      <c r="G43" s="79">
        <v>1</v>
      </c>
      <c r="H43" s="63"/>
      <c r="I43" s="64"/>
      <c r="J43" s="63"/>
      <c r="K43" s="64"/>
      <c r="L43" s="63"/>
      <c r="M43" s="64"/>
      <c r="N43" s="78">
        <v>0.9</v>
      </c>
      <c r="O43" s="79">
        <v>2.1</v>
      </c>
      <c r="P43" s="63"/>
      <c r="Q43" s="64"/>
      <c r="R43" s="63"/>
      <c r="S43" s="64"/>
      <c r="T43" s="63"/>
      <c r="U43" s="64"/>
      <c r="V43" s="63"/>
      <c r="W43" s="64"/>
      <c r="X43" s="63"/>
      <c r="Y43" s="64"/>
      <c r="Z43" s="63"/>
      <c r="AA43" s="64"/>
      <c r="AB43" s="63"/>
      <c r="AC43" s="64"/>
    </row>
    <row r="44" spans="1:40">
      <c r="A44" s="50" t="s">
        <v>117</v>
      </c>
      <c r="B44" s="6">
        <v>2</v>
      </c>
      <c r="C44" s="6">
        <v>3.35</v>
      </c>
      <c r="D44" s="6">
        <f t="shared" si="8"/>
        <v>10.7</v>
      </c>
      <c r="E44" s="4">
        <f t="shared" si="1"/>
        <v>32.489999999999995</v>
      </c>
      <c r="F44" s="78">
        <v>2</v>
      </c>
      <c r="G44" s="79">
        <v>1</v>
      </c>
      <c r="H44" s="63"/>
      <c r="I44" s="64"/>
      <c r="J44" s="63"/>
      <c r="K44" s="64"/>
      <c r="L44" s="63"/>
      <c r="M44" s="64"/>
      <c r="N44" s="78">
        <v>0.9</v>
      </c>
      <c r="O44" s="79">
        <v>2.1</v>
      </c>
      <c r="P44" s="63"/>
      <c r="Q44" s="64"/>
      <c r="R44" s="63"/>
      <c r="S44" s="64"/>
      <c r="T44" s="63"/>
      <c r="U44" s="64"/>
      <c r="V44" s="63"/>
      <c r="W44" s="64"/>
      <c r="X44" s="63"/>
      <c r="Y44" s="64"/>
      <c r="Z44" s="63"/>
      <c r="AA44" s="64"/>
      <c r="AB44" s="63"/>
      <c r="AC44" s="64"/>
    </row>
    <row r="45" spans="1:40">
      <c r="A45" s="50" t="s">
        <v>130</v>
      </c>
      <c r="B45" s="9"/>
      <c r="C45" s="9"/>
      <c r="D45" s="6">
        <v>60.44</v>
      </c>
      <c r="E45" s="4">
        <f t="shared" si="1"/>
        <v>183.40599999999998</v>
      </c>
      <c r="F45" s="78">
        <v>13.9</v>
      </c>
      <c r="G45" s="79">
        <v>1</v>
      </c>
      <c r="H45" s="63"/>
      <c r="I45" s="64"/>
      <c r="J45" s="63"/>
      <c r="K45" s="64"/>
      <c r="L45" s="63"/>
      <c r="M45" s="64"/>
      <c r="N45" s="78">
        <v>2.1</v>
      </c>
      <c r="O45" s="79">
        <v>2.1</v>
      </c>
      <c r="P45" s="78">
        <v>0.9</v>
      </c>
      <c r="Q45" s="79">
        <v>2.1</v>
      </c>
      <c r="R45" s="78">
        <v>0.9</v>
      </c>
      <c r="S45" s="79">
        <v>2.1</v>
      </c>
      <c r="T45" s="63"/>
      <c r="U45" s="64"/>
      <c r="V45" s="63"/>
      <c r="W45" s="64"/>
      <c r="X45" s="63"/>
      <c r="Y45" s="64"/>
      <c r="Z45" s="63"/>
      <c r="AA45" s="64"/>
      <c r="AB45" s="63"/>
      <c r="AC45" s="64"/>
    </row>
    <row r="47" spans="1:40">
      <c r="A47" s="50" t="s">
        <v>24</v>
      </c>
      <c r="B47" s="9"/>
      <c r="C47" s="9"/>
      <c r="D47" s="6">
        <v>175.67</v>
      </c>
      <c r="E47" s="4">
        <f>(D47*($A$3+0.35))-((F47*G47)+(H47*I47)+(J47*K47)+(L47*M47)+(N47*O47)+(P47*Q47)+(R47*S47)+(T47*U47)+(V47*W47)+(X47*Y47)+(Z47*AA47)+(AB47*AC47))</f>
        <v>509.75749999999994</v>
      </c>
      <c r="F47" s="78">
        <f>7*2</f>
        <v>14</v>
      </c>
      <c r="G47" s="79">
        <v>1</v>
      </c>
      <c r="H47" s="78">
        <f>3*1</f>
        <v>3</v>
      </c>
      <c r="I47" s="79">
        <v>0.8</v>
      </c>
      <c r="J47" s="78">
        <f>3*3</f>
        <v>9</v>
      </c>
      <c r="K47" s="79">
        <v>1</v>
      </c>
      <c r="L47" s="78">
        <f>3*2.75</f>
        <v>8.25</v>
      </c>
      <c r="M47" s="79">
        <v>1</v>
      </c>
      <c r="N47" s="78">
        <v>7.75</v>
      </c>
      <c r="O47" s="79">
        <v>9.5</v>
      </c>
      <c r="P47" s="78">
        <v>13.9</v>
      </c>
      <c r="Q47" s="79">
        <v>1</v>
      </c>
      <c r="R47" s="78">
        <v>7.1</v>
      </c>
      <c r="S47" s="79">
        <v>1</v>
      </c>
      <c r="T47" s="78">
        <v>4.1500000000000004</v>
      </c>
      <c r="U47" s="79">
        <v>1</v>
      </c>
      <c r="V47" s="78">
        <v>3.35</v>
      </c>
      <c r="W47" s="79">
        <v>1</v>
      </c>
      <c r="X47" s="78">
        <v>11.55</v>
      </c>
      <c r="Y47" s="79">
        <v>1</v>
      </c>
      <c r="Z47" s="63"/>
      <c r="AA47" s="64"/>
      <c r="AB47" s="78">
        <v>0.8</v>
      </c>
      <c r="AC47" s="79">
        <v>2.1</v>
      </c>
    </row>
    <row r="48" spans="1:40">
      <c r="A48" s="50" t="s">
        <v>25</v>
      </c>
      <c r="B48" s="9"/>
      <c r="C48" s="9"/>
      <c r="D48" s="9"/>
      <c r="E48" s="9"/>
      <c r="F48" s="63"/>
      <c r="G48" s="64"/>
      <c r="H48" s="63"/>
      <c r="I48" s="64"/>
      <c r="J48" s="63"/>
      <c r="K48" s="64"/>
      <c r="L48" s="63"/>
      <c r="M48" s="64"/>
      <c r="N48" s="75"/>
      <c r="O48" s="76"/>
      <c r="P48" s="75"/>
      <c r="Q48" s="76"/>
      <c r="R48" s="75"/>
      <c r="S48" s="76"/>
      <c r="T48" s="75"/>
      <c r="U48" s="76"/>
      <c r="V48" s="75"/>
      <c r="W48" s="76"/>
      <c r="X48" s="75"/>
      <c r="Y48" s="76"/>
      <c r="Z48" s="75"/>
      <c r="AA48" s="76"/>
      <c r="AB48" s="75"/>
      <c r="AC48" s="76"/>
    </row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spans="1:3" hidden="1"/>
    <row r="68" spans="1:3">
      <c r="A68" s="50" t="s">
        <v>83</v>
      </c>
      <c r="B68" s="163">
        <f>SUM(E5:E48)</f>
        <v>2889.9764999999998</v>
      </c>
      <c r="C68" s="164"/>
    </row>
    <row r="69" spans="1:3" hidden="1">
      <c r="A69" s="5" t="s">
        <v>320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Header>&amp;A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36</vt:i4>
      </vt:variant>
      <vt:variant>
        <vt:lpstr>Intervalos nomeados</vt:lpstr>
      </vt:variant>
      <vt:variant>
        <vt:i4>1</vt:i4>
      </vt:variant>
    </vt:vector>
  </HeadingPairs>
  <TitlesOfParts>
    <vt:vector size="37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  <vt:lpstr>Encun!Titulos_de_impressao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2018-11-07T01:53:06Z</cp:lastPrinted>
  <dcterms:created xsi:type="dcterms:W3CDTF">2018-03-26T11:25:45Z</dcterms:created>
  <dcterms:modified xsi:type="dcterms:W3CDTF">2018-11-07T01:53:22Z</dcterms:modified>
</cp:coreProperties>
</file>