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240" yWindow="75" windowWidth="20055" windowHeight="7935" tabRatio="970" firstSheet="15" activeTab="34"/>
  </bookViews>
  <sheets>
    <sheet name="Memória" sheetId="1" r:id="rId1"/>
    <sheet name="Alv15" sheetId="4" r:id="rId2"/>
    <sheet name="Alv20" sheetId="31" r:id="rId3"/>
    <sheet name="Encun" sheetId="43" r:id="rId4"/>
    <sheet name="Ver_Jan" sheetId="15" r:id="rId5"/>
    <sheet name="Con_Ver" sheetId="53" r:id="rId6"/>
    <sheet name="Ver_Por" sheetId="16" r:id="rId7"/>
    <sheet name="Cob" sheetId="7" r:id="rId8"/>
    <sheet name="Chap_Par" sheetId="5" r:id="rId9"/>
    <sheet name="Reb_Par" sheetId="38" r:id="rId10"/>
    <sheet name="Embç_Par" sheetId="33" r:id="rId11"/>
    <sheet name="Cerâm_Par" sheetId="34" r:id="rId12"/>
    <sheet name="Selad_Par" sheetId="39" r:id="rId13"/>
    <sheet name="Emass_Par" sheetId="40" r:id="rId14"/>
    <sheet name="Pint_Epox_Par" sheetId="41" r:id="rId15"/>
    <sheet name="Pint_Epox_Demarc" sheetId="54" r:id="rId16"/>
    <sheet name="Pint_Acr_Par" sheetId="42" r:id="rId17"/>
    <sheet name="Chap_Tet" sheetId="36" r:id="rId18"/>
    <sheet name="Reb_Tet" sheetId="20" r:id="rId19"/>
    <sheet name="Emass_Tet" sheetId="49" r:id="rId20"/>
    <sheet name="Pint_Tet" sheetId="50" r:id="rId21"/>
    <sheet name="For_Ges" sheetId="37" r:id="rId22"/>
    <sheet name="Emass_For_Ges" sheetId="51" r:id="rId23"/>
    <sheet name="Pint_For_Ges" sheetId="52" r:id="rId24"/>
    <sheet name="Pis_Porce" sheetId="44" r:id="rId25"/>
    <sheet name="Pis_Cer" sheetId="45" r:id="rId26"/>
    <sheet name="Pis_Conc_Poli" sheetId="46" r:id="rId27"/>
    <sheet name="Pis_Grani" sheetId="47" r:id="rId28"/>
    <sheet name="Con_Pis" sheetId="21" r:id="rId29"/>
    <sheet name="Piso_Borracha" sheetId="56" r:id="rId30"/>
    <sheet name="Passeio" sheetId="23" r:id="rId31"/>
    <sheet name="Soleira" sheetId="48" r:id="rId32"/>
    <sheet name="Rodape" sheetId="25" r:id="rId33"/>
    <sheet name="Esquad" sheetId="27" r:id="rId34"/>
    <sheet name="Diver" sheetId="8" r:id="rId35"/>
    <sheet name="Rev_Cer_Fachada" sheetId="55" r:id="rId36"/>
  </sheets>
  <definedNames>
    <definedName name="_xlnm.Print_Area" localSheetId="22">Emass_For_Ges!$A$1:$E$52</definedName>
    <definedName name="_xlnm.Print_Area" localSheetId="3">Encun!$A$1:$AA$103</definedName>
    <definedName name="_xlnm.Print_Area" localSheetId="33">Esquad!$A$1:$AR$55</definedName>
    <definedName name="_xlnm.Print_Area" localSheetId="23">Pint_For_Ges!$A$1:$E$52</definedName>
    <definedName name="_xlnm.Print_Titles" localSheetId="1">'Alv15'!$1:$4</definedName>
    <definedName name="_xlnm.Print_Titles" localSheetId="8">Chap_Par!$1:$4</definedName>
    <definedName name="_xlnm.Print_Titles" localSheetId="3">Encun!$1:$4</definedName>
  </definedNames>
  <calcPr calcId="125725"/>
</workbook>
</file>

<file path=xl/calcChain.xml><?xml version="1.0" encoding="utf-8"?>
<calcChain xmlns="http://schemas.openxmlformats.org/spreadsheetml/2006/main">
  <c r="E3" i="56"/>
  <c r="B6" s="1"/>
  <c r="D3"/>
  <c r="E65" i="5"/>
  <c r="AN54" i="8"/>
  <c r="AM54"/>
  <c r="AQ57"/>
  <c r="D27" i="42"/>
  <c r="D5" i="39"/>
  <c r="D21" i="33" l="1"/>
  <c r="D48" i="38" l="1"/>
  <c r="E27" i="42"/>
  <c r="E5" i="39"/>
  <c r="E48" i="38"/>
  <c r="B6" i="55"/>
  <c r="B5"/>
  <c r="C5" s="1"/>
  <c r="C6"/>
  <c r="C7"/>
  <c r="C8"/>
  <c r="AP55" i="27"/>
  <c r="AM55"/>
  <c r="AL55"/>
  <c r="AK55"/>
  <c r="AN55" l="1"/>
  <c r="AH55"/>
  <c r="AG55"/>
  <c r="AF55"/>
  <c r="AA55"/>
  <c r="Y55"/>
  <c r="X55"/>
  <c r="W55"/>
  <c r="V55"/>
  <c r="S55"/>
  <c r="Q55"/>
  <c r="P55"/>
  <c r="O55"/>
  <c r="N55"/>
  <c r="L55"/>
  <c r="K55"/>
  <c r="J55"/>
  <c r="I55"/>
  <c r="H55"/>
  <c r="G55"/>
  <c r="F55"/>
  <c r="E55"/>
  <c r="D55"/>
  <c r="C55"/>
  <c r="B11" i="55" l="1"/>
  <c r="E55" i="21"/>
  <c r="E13" i="47"/>
  <c r="B13"/>
  <c r="B15"/>
  <c r="B8" i="23" l="1"/>
  <c r="B6" i="54" l="1"/>
  <c r="D22" i="47"/>
  <c r="D21"/>
  <c r="AV34" i="8"/>
  <c r="AV57"/>
  <c r="AU39"/>
  <c r="AU57"/>
  <c r="AM51"/>
  <c r="AN51"/>
  <c r="AN49"/>
  <c r="AM49"/>
  <c r="AN38"/>
  <c r="AM38"/>
  <c r="B24" i="47" l="1"/>
  <c r="AT39" i="8"/>
  <c r="AT41"/>
  <c r="AT43"/>
  <c r="AT42"/>
  <c r="AT44"/>
  <c r="AT50"/>
  <c r="AT51"/>
  <c r="AT52"/>
  <c r="AT34"/>
  <c r="AS57"/>
  <c r="AR57"/>
  <c r="AT38"/>
  <c r="AT37"/>
  <c r="AT36"/>
  <c r="AT33"/>
  <c r="AI33"/>
  <c r="AT32"/>
  <c r="AT31"/>
  <c r="AT30"/>
  <c r="AT28"/>
  <c r="AI28"/>
  <c r="AT25"/>
  <c r="AT24"/>
  <c r="AT23"/>
  <c r="AT22"/>
  <c r="AT17"/>
  <c r="AT16"/>
  <c r="AI15"/>
  <c r="AI14"/>
  <c r="AT8"/>
  <c r="AT7"/>
  <c r="AT2" l="1"/>
  <c r="X44" l="1"/>
  <c r="W44"/>
  <c r="X41"/>
  <c r="W41"/>
  <c r="W34"/>
  <c r="X33"/>
  <c r="U44"/>
  <c r="V44"/>
  <c r="V41"/>
  <c r="U41"/>
  <c r="V34"/>
  <c r="X48"/>
  <c r="W48"/>
  <c r="U48"/>
  <c r="X47"/>
  <c r="U47"/>
  <c r="X40"/>
  <c r="U40"/>
  <c r="U33"/>
  <c r="X31"/>
  <c r="U31"/>
  <c r="X28"/>
  <c r="U28"/>
  <c r="X24"/>
  <c r="U24"/>
  <c r="X19"/>
  <c r="U19"/>
  <c r="U15"/>
  <c r="U14"/>
  <c r="X10"/>
  <c r="W10"/>
  <c r="U10"/>
  <c r="X9"/>
  <c r="U9"/>
  <c r="X7"/>
  <c r="W7"/>
  <c r="U7"/>
  <c r="X6"/>
  <c r="U6"/>
  <c r="P45" l="1"/>
  <c r="P43"/>
  <c r="P42"/>
  <c r="P37"/>
  <c r="P33"/>
  <c r="P32"/>
  <c r="P31"/>
  <c r="P30"/>
  <c r="P28"/>
  <c r="P21"/>
  <c r="P15"/>
  <c r="P14"/>
  <c r="H45" l="1"/>
  <c r="H43"/>
  <c r="H42"/>
  <c r="H37"/>
  <c r="I33"/>
  <c r="I32"/>
  <c r="I30"/>
  <c r="I28"/>
  <c r="H21"/>
  <c r="H15"/>
  <c r="H14"/>
  <c r="I57" l="1"/>
  <c r="AK57"/>
  <c r="AJ57"/>
  <c r="AH57"/>
  <c r="AG57"/>
  <c r="AF57"/>
  <c r="AE57"/>
  <c r="AD57"/>
  <c r="AC57"/>
  <c r="AB57"/>
  <c r="AA57"/>
  <c r="Y57"/>
  <c r="T57"/>
  <c r="S57"/>
  <c r="R57"/>
  <c r="Q57"/>
  <c r="O57"/>
  <c r="N57"/>
  <c r="M57"/>
  <c r="K57"/>
  <c r="J57"/>
  <c r="G57"/>
  <c r="F57"/>
  <c r="E57"/>
  <c r="D57"/>
  <c r="C57"/>
  <c r="B57"/>
  <c r="AM57"/>
  <c r="H57"/>
  <c r="P57"/>
  <c r="L57"/>
  <c r="AL57"/>
  <c r="V57"/>
  <c r="H28" i="25"/>
  <c r="P45" i="42"/>
  <c r="N27"/>
  <c r="L27"/>
  <c r="J27"/>
  <c r="H27"/>
  <c r="F27"/>
  <c r="X57" i="8" l="1"/>
  <c r="AI57"/>
  <c r="AT57"/>
  <c r="U57"/>
  <c r="W57"/>
  <c r="AN57"/>
  <c r="Z26" i="41"/>
  <c r="P26"/>
  <c r="AB30" i="40" l="1"/>
  <c r="V30"/>
  <c r="R30"/>
  <c r="P30"/>
  <c r="N30"/>
  <c r="N5" i="39"/>
  <c r="L5"/>
  <c r="J5"/>
  <c r="H5"/>
  <c r="F5"/>
  <c r="N48" i="38"/>
  <c r="L48"/>
  <c r="J48"/>
  <c r="H48"/>
  <c r="F48"/>
  <c r="AB33"/>
  <c r="V33"/>
  <c r="R33"/>
  <c r="P33"/>
  <c r="N33"/>
  <c r="N65" i="5"/>
  <c r="L65"/>
  <c r="J65"/>
  <c r="H65"/>
  <c r="F65"/>
  <c r="AB46"/>
  <c r="V46"/>
  <c r="R46"/>
  <c r="P46"/>
  <c r="N46"/>
  <c r="C26" i="53" l="1"/>
  <c r="E26" s="1"/>
  <c r="C25"/>
  <c r="E25" s="1"/>
  <c r="B28" s="1"/>
  <c r="B30" s="1"/>
  <c r="C24"/>
  <c r="E24" s="1"/>
  <c r="C13"/>
  <c r="E13" s="1"/>
  <c r="C12"/>
  <c r="E12" s="1"/>
  <c r="C11"/>
  <c r="E11" s="1"/>
  <c r="C10"/>
  <c r="E10" s="1"/>
  <c r="C9"/>
  <c r="E9" s="1"/>
  <c r="C8"/>
  <c r="E8" s="1"/>
  <c r="C7"/>
  <c r="E7" s="1"/>
  <c r="C6"/>
  <c r="E6" s="1"/>
  <c r="C5"/>
  <c r="E5" s="1"/>
  <c r="C4"/>
  <c r="E4" s="1"/>
  <c r="N64" i="1"/>
  <c r="J64"/>
  <c r="R45"/>
  <c r="E50" i="52"/>
  <c r="D50"/>
  <c r="E49"/>
  <c r="D49"/>
  <c r="E48"/>
  <c r="D48"/>
  <c r="E47"/>
  <c r="D47"/>
  <c r="E46"/>
  <c r="D46"/>
  <c r="E45"/>
  <c r="D45"/>
  <c r="E43"/>
  <c r="D43"/>
  <c r="E42"/>
  <c r="D42"/>
  <c r="E40"/>
  <c r="D40"/>
  <c r="E38"/>
  <c r="D38"/>
  <c r="E37"/>
  <c r="D37"/>
  <c r="E36"/>
  <c r="D36"/>
  <c r="E32"/>
  <c r="D32"/>
  <c r="E31"/>
  <c r="D31"/>
  <c r="E30"/>
  <c r="D30"/>
  <c r="E29"/>
  <c r="D29"/>
  <c r="E28"/>
  <c r="D28"/>
  <c r="E27"/>
  <c r="D27"/>
  <c r="E25"/>
  <c r="D25"/>
  <c r="E24"/>
  <c r="D24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B52" s="1"/>
  <c r="D4"/>
  <c r="E50" i="51"/>
  <c r="D50"/>
  <c r="E49"/>
  <c r="D49"/>
  <c r="E48"/>
  <c r="D48"/>
  <c r="E47"/>
  <c r="D47"/>
  <c r="E46"/>
  <c r="D46"/>
  <c r="E45"/>
  <c r="D45"/>
  <c r="E43"/>
  <c r="D43"/>
  <c r="E42"/>
  <c r="D42"/>
  <c r="E40"/>
  <c r="D40"/>
  <c r="E38"/>
  <c r="D38"/>
  <c r="E37"/>
  <c r="D37"/>
  <c r="E36"/>
  <c r="D36"/>
  <c r="E32"/>
  <c r="D32"/>
  <c r="E31"/>
  <c r="D31"/>
  <c r="E30"/>
  <c r="D30"/>
  <c r="E29"/>
  <c r="D29"/>
  <c r="E28"/>
  <c r="D28"/>
  <c r="E27"/>
  <c r="D27"/>
  <c r="E25"/>
  <c r="D25"/>
  <c r="E24"/>
  <c r="D24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E4" i="50"/>
  <c r="D4"/>
  <c r="E3"/>
  <c r="D3"/>
  <c r="B11" i="49"/>
  <c r="E4"/>
  <c r="D4"/>
  <c r="E3"/>
  <c r="D3"/>
  <c r="E4" i="20"/>
  <c r="D4"/>
  <c r="E3"/>
  <c r="D3"/>
  <c r="E4" i="36"/>
  <c r="B15" i="53" l="1"/>
  <c r="B17" s="1"/>
  <c r="B52" i="51"/>
  <c r="B11" i="50"/>
  <c r="B36" i="53"/>
  <c r="E3" i="36"/>
  <c r="E3" i="21"/>
  <c r="D3"/>
  <c r="D4" i="36"/>
  <c r="B11"/>
  <c r="E54" i="21"/>
  <c r="D54"/>
  <c r="E53"/>
  <c r="D53"/>
  <c r="E52"/>
  <c r="E51"/>
  <c r="D51"/>
  <c r="E50"/>
  <c r="D50"/>
  <c r="E49"/>
  <c r="D49"/>
  <c r="E48"/>
  <c r="D48"/>
  <c r="E47"/>
  <c r="D47"/>
  <c r="E46"/>
  <c r="D46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29"/>
  <c r="D29"/>
  <c r="E27"/>
  <c r="D27"/>
  <c r="E26"/>
  <c r="D26"/>
  <c r="E24"/>
  <c r="D24"/>
  <c r="E23"/>
  <c r="D23"/>
  <c r="E22"/>
  <c r="D22"/>
  <c r="E20"/>
  <c r="D20"/>
  <c r="E19"/>
  <c r="D19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12" i="47"/>
  <c r="D12"/>
  <c r="E5"/>
  <c r="D5"/>
  <c r="B57" i="21" l="1"/>
  <c r="E4" i="46"/>
  <c r="B7" s="1"/>
  <c r="D4"/>
  <c r="E3" i="47" l="1"/>
  <c r="E4"/>
  <c r="B7" l="1"/>
  <c r="B6" i="48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5"/>
  <c r="A3" l="1"/>
  <c r="E54" i="25"/>
  <c r="B28" i="48" l="1"/>
  <c r="AB28" i="25"/>
  <c r="N28"/>
  <c r="J28"/>
  <c r="F28"/>
  <c r="E30"/>
  <c r="E31"/>
  <c r="D32"/>
  <c r="E32" s="1"/>
  <c r="D20"/>
  <c r="E20" s="1"/>
  <c r="E21"/>
  <c r="D22"/>
  <c r="E22" s="1"/>
  <c r="D23"/>
  <c r="E23" s="1"/>
  <c r="D24"/>
  <c r="E24" s="1"/>
  <c r="E25"/>
  <c r="D26"/>
  <c r="E26" s="1"/>
  <c r="D27"/>
  <c r="E27" s="1"/>
  <c r="D29"/>
  <c r="E29" s="1"/>
  <c r="E28" l="1"/>
  <c r="D55"/>
  <c r="E55" s="1"/>
  <c r="D45"/>
  <c r="E45" s="1"/>
  <c r="D44"/>
  <c r="E44" s="1"/>
  <c r="D5"/>
  <c r="E5" s="1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E18"/>
  <c r="D19"/>
  <c r="E19" s="1"/>
  <c r="D33"/>
  <c r="E33" s="1"/>
  <c r="D34"/>
  <c r="E34" s="1"/>
  <c r="E4"/>
  <c r="B36" l="1"/>
  <c r="B57"/>
  <c r="B47"/>
  <c r="D4" i="47"/>
  <c r="E19" i="45" l="1"/>
  <c r="D19"/>
  <c r="E18"/>
  <c r="D18"/>
  <c r="E17"/>
  <c r="D17"/>
  <c r="E16"/>
  <c r="D16"/>
  <c r="E15"/>
  <c r="D15"/>
  <c r="E14"/>
  <c r="D14"/>
  <c r="E11"/>
  <c r="D11"/>
  <c r="E10"/>
  <c r="D10"/>
  <c r="E9"/>
  <c r="D9"/>
  <c r="E8"/>
  <c r="D8"/>
  <c r="E7"/>
  <c r="D7"/>
  <c r="E6"/>
  <c r="D6"/>
  <c r="E5"/>
  <c r="D5"/>
  <c r="E4"/>
  <c r="D4"/>
  <c r="E3"/>
  <c r="D3"/>
  <c r="B21" l="1"/>
  <c r="E33" i="44"/>
  <c r="D33"/>
  <c r="E32"/>
  <c r="D32"/>
  <c r="E31"/>
  <c r="D31"/>
  <c r="E28"/>
  <c r="D28"/>
  <c r="E26"/>
  <c r="D26"/>
  <c r="E25"/>
  <c r="D25"/>
  <c r="E23"/>
  <c r="D23"/>
  <c r="E22"/>
  <c r="D22"/>
  <c r="E21"/>
  <c r="D21"/>
  <c r="E19"/>
  <c r="D19"/>
  <c r="E18"/>
  <c r="D18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D59" i="38"/>
  <c r="B96" i="43"/>
  <c r="B73"/>
  <c r="B33"/>
  <c r="A3"/>
  <c r="C98" s="1"/>
  <c r="D28" i="41"/>
  <c r="E28" s="1"/>
  <c r="D16" i="42"/>
  <c r="B103" i="43" l="1"/>
  <c r="B35" i="44"/>
  <c r="C16" i="43"/>
  <c r="C58"/>
  <c r="C99"/>
  <c r="C12"/>
  <c r="C18"/>
  <c r="C23"/>
  <c r="C27"/>
  <c r="C31"/>
  <c r="C35"/>
  <c r="C39"/>
  <c r="C48"/>
  <c r="C53"/>
  <c r="C59"/>
  <c r="C63"/>
  <c r="C67"/>
  <c r="C72"/>
  <c r="C77"/>
  <c r="C81"/>
  <c r="C85"/>
  <c r="C90"/>
  <c r="C95"/>
  <c r="C100"/>
  <c r="C10"/>
  <c r="C43"/>
  <c r="C56"/>
  <c r="C94"/>
  <c r="C9"/>
  <c r="C15"/>
  <c r="C22"/>
  <c r="C26"/>
  <c r="C30"/>
  <c r="C34"/>
  <c r="C38"/>
  <c r="C47"/>
  <c r="C52"/>
  <c r="C57"/>
  <c r="C62"/>
  <c r="C66"/>
  <c r="C70"/>
  <c r="C75"/>
  <c r="C80"/>
  <c r="C84"/>
  <c r="C89"/>
  <c r="C93"/>
  <c r="C97"/>
  <c r="C6"/>
  <c r="C20"/>
  <c r="C49"/>
  <c r="C88"/>
  <c r="C8"/>
  <c r="C14"/>
  <c r="C21"/>
  <c r="C25"/>
  <c r="C29"/>
  <c r="C33"/>
  <c r="C37"/>
  <c r="C42"/>
  <c r="C51"/>
  <c r="C55"/>
  <c r="C61"/>
  <c r="C65"/>
  <c r="C69"/>
  <c r="C74"/>
  <c r="C79"/>
  <c r="C83"/>
  <c r="C87"/>
  <c r="C92"/>
  <c r="C96"/>
  <c r="C5"/>
  <c r="C17"/>
  <c r="C45"/>
  <c r="C76"/>
  <c r="C7"/>
  <c r="C13"/>
  <c r="C19"/>
  <c r="C24"/>
  <c r="C28"/>
  <c r="C32"/>
  <c r="C36"/>
  <c r="C41"/>
  <c r="C50"/>
  <c r="C54"/>
  <c r="C60"/>
  <c r="C64"/>
  <c r="C68"/>
  <c r="C73"/>
  <c r="C78"/>
  <c r="C82"/>
  <c r="C86"/>
  <c r="C91"/>
  <c r="C101"/>
  <c r="C44"/>
  <c r="C11"/>
  <c r="C40"/>
  <c r="C46"/>
  <c r="C71"/>
  <c r="D47" i="42"/>
  <c r="D46"/>
  <c r="AB45"/>
  <c r="V45"/>
  <c r="R45"/>
  <c r="N45"/>
  <c r="D44"/>
  <c r="D42"/>
  <c r="D41"/>
  <c r="D40"/>
  <c r="D39"/>
  <c r="D38"/>
  <c r="D25" l="1"/>
  <c r="D24"/>
  <c r="D23"/>
  <c r="D22"/>
  <c r="D20"/>
  <c r="D19"/>
  <c r="D17"/>
  <c r="D14"/>
  <c r="D13"/>
  <c r="D12"/>
  <c r="D11"/>
  <c r="D10"/>
  <c r="D9"/>
  <c r="D8"/>
  <c r="D7"/>
  <c r="D6"/>
  <c r="A3"/>
  <c r="E16" l="1"/>
  <c r="E38"/>
  <c r="E39"/>
  <c r="E44"/>
  <c r="E42"/>
  <c r="E41"/>
  <c r="E46"/>
  <c r="E5"/>
  <c r="E43"/>
  <c r="E45"/>
  <c r="E40"/>
  <c r="E47"/>
  <c r="E7"/>
  <c r="E22"/>
  <c r="E23"/>
  <c r="E25"/>
  <c r="E9"/>
  <c r="E24"/>
  <c r="E11"/>
  <c r="E14"/>
  <c r="E17"/>
  <c r="E19"/>
  <c r="E21"/>
  <c r="E6"/>
  <c r="E8"/>
  <c r="E10"/>
  <c r="E12"/>
  <c r="E13"/>
  <c r="E18"/>
  <c r="E20"/>
  <c r="E15"/>
  <c r="AA26" i="41"/>
  <c r="B49" i="42" l="1"/>
  <c r="B29"/>
  <c r="E24" i="41"/>
  <c r="D27"/>
  <c r="E27" s="1"/>
  <c r="AB26"/>
  <c r="V26"/>
  <c r="R26"/>
  <c r="N26"/>
  <c r="D25"/>
  <c r="E25" s="1"/>
  <c r="D23"/>
  <c r="E23" s="1"/>
  <c r="D22"/>
  <c r="E22" s="1"/>
  <c r="D21"/>
  <c r="E21" s="1"/>
  <c r="D20"/>
  <c r="E20" s="1"/>
  <c r="D19"/>
  <c r="E19" s="1"/>
  <c r="AC26"/>
  <c r="D8"/>
  <c r="D5"/>
  <c r="A3"/>
  <c r="E7" s="1"/>
  <c r="D39" i="40"/>
  <c r="D38"/>
  <c r="D37"/>
  <c r="D36"/>
  <c r="D35"/>
  <c r="D34"/>
  <c r="D31"/>
  <c r="D28"/>
  <c r="D27"/>
  <c r="D25"/>
  <c r="D24"/>
  <c r="D23"/>
  <c r="D21"/>
  <c r="D20"/>
  <c r="D18"/>
  <c r="D17"/>
  <c r="D16"/>
  <c r="D15"/>
  <c r="D14"/>
  <c r="D13"/>
  <c r="D12"/>
  <c r="D11"/>
  <c r="D10"/>
  <c r="D9"/>
  <c r="D8"/>
  <c r="D7"/>
  <c r="D6"/>
  <c r="A3"/>
  <c r="AC30" s="1"/>
  <c r="A3" i="39"/>
  <c r="D46" i="38"/>
  <c r="D45"/>
  <c r="D44"/>
  <c r="D43"/>
  <c r="D42"/>
  <c r="D41"/>
  <c r="D40"/>
  <c r="D39"/>
  <c r="D38"/>
  <c r="D37"/>
  <c r="D34"/>
  <c r="D32"/>
  <c r="D30"/>
  <c r="D29"/>
  <c r="D27"/>
  <c r="D26"/>
  <c r="D25"/>
  <c r="D23"/>
  <c r="D22"/>
  <c r="D20"/>
  <c r="D19"/>
  <c r="D18"/>
  <c r="D17"/>
  <c r="D16"/>
  <c r="D15"/>
  <c r="D14"/>
  <c r="D13"/>
  <c r="D12"/>
  <c r="D11"/>
  <c r="D10"/>
  <c r="D9"/>
  <c r="D8"/>
  <c r="D7"/>
  <c r="D6"/>
  <c r="A3"/>
  <c r="AC33" s="1"/>
  <c r="E50" i="37"/>
  <c r="D50"/>
  <c r="E49"/>
  <c r="D49"/>
  <c r="E48"/>
  <c r="D48"/>
  <c r="E47"/>
  <c r="D47"/>
  <c r="E46"/>
  <c r="D46"/>
  <c r="E45"/>
  <c r="D45"/>
  <c r="E43"/>
  <c r="D43"/>
  <c r="E42"/>
  <c r="D42"/>
  <c r="E40"/>
  <c r="D40"/>
  <c r="E38"/>
  <c r="D38"/>
  <c r="E37"/>
  <c r="D37"/>
  <c r="E36"/>
  <c r="D36"/>
  <c r="E32"/>
  <c r="D32"/>
  <c r="E31"/>
  <c r="D31"/>
  <c r="E30"/>
  <c r="D30"/>
  <c r="E29"/>
  <c r="D29"/>
  <c r="E28"/>
  <c r="D28"/>
  <c r="E27"/>
  <c r="D27"/>
  <c r="E25"/>
  <c r="D25"/>
  <c r="E24"/>
  <c r="D24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E5"/>
  <c r="D5"/>
  <c r="E4"/>
  <c r="D4"/>
  <c r="B55" i="42" l="1"/>
  <c r="E35" i="38"/>
  <c r="E59"/>
  <c r="B61" s="1"/>
  <c r="E26" i="41"/>
  <c r="B30" s="1"/>
  <c r="E6"/>
  <c r="E8"/>
  <c r="E5"/>
  <c r="E9" i="40"/>
  <c r="E13"/>
  <c r="E18"/>
  <c r="E23"/>
  <c r="E7"/>
  <c r="E11"/>
  <c r="E16"/>
  <c r="E27"/>
  <c r="E25"/>
  <c r="E29"/>
  <c r="E31"/>
  <c r="E38"/>
  <c r="E6"/>
  <c r="E10"/>
  <c r="E14"/>
  <c r="E22"/>
  <c r="E26"/>
  <c r="E28"/>
  <c r="E19"/>
  <c r="E21"/>
  <c r="E30"/>
  <c r="E33"/>
  <c r="E34"/>
  <c r="E36"/>
  <c r="E37"/>
  <c r="E39"/>
  <c r="E5"/>
  <c r="E32"/>
  <c r="E20"/>
  <c r="E35"/>
  <c r="E8"/>
  <c r="E12"/>
  <c r="E15"/>
  <c r="E17"/>
  <c r="E24"/>
  <c r="B11" i="39"/>
  <c r="E41" i="38"/>
  <c r="E23"/>
  <c r="E8"/>
  <c r="E17"/>
  <c r="E20"/>
  <c r="E34"/>
  <c r="E37"/>
  <c r="E43"/>
  <c r="E26"/>
  <c r="E31"/>
  <c r="E38"/>
  <c r="E45"/>
  <c r="E7"/>
  <c r="E10"/>
  <c r="E13"/>
  <c r="E15"/>
  <c r="E19"/>
  <c r="E21"/>
  <c r="E39"/>
  <c r="E6"/>
  <c r="E27"/>
  <c r="E30"/>
  <c r="E5"/>
  <c r="E9"/>
  <c r="E11"/>
  <c r="E12"/>
  <c r="E14"/>
  <c r="E16"/>
  <c r="E18"/>
  <c r="E25"/>
  <c r="E29"/>
  <c r="E22"/>
  <c r="E32"/>
  <c r="E33"/>
  <c r="E36"/>
  <c r="E40"/>
  <c r="E42"/>
  <c r="E44"/>
  <c r="E46"/>
  <c r="E24"/>
  <c r="E28"/>
  <c r="B52" i="37"/>
  <c r="D3" i="36"/>
  <c r="B41" i="40" l="1"/>
  <c r="B51" i="38"/>
  <c r="B10" i="41"/>
  <c r="B36" s="1"/>
  <c r="D20" i="34"/>
  <c r="D19"/>
  <c r="D18"/>
  <c r="D17"/>
  <c r="D16"/>
  <c r="D13"/>
  <c r="D12"/>
  <c r="D11"/>
  <c r="D10"/>
  <c r="D9"/>
  <c r="D8"/>
  <c r="D7"/>
  <c r="D6"/>
  <c r="D5"/>
  <c r="A3"/>
  <c r="E14" s="1"/>
  <c r="D20" i="33"/>
  <c r="D19"/>
  <c r="D18"/>
  <c r="D17"/>
  <c r="D16"/>
  <c r="D13"/>
  <c r="D12"/>
  <c r="D11"/>
  <c r="D10"/>
  <c r="D9"/>
  <c r="D8"/>
  <c r="D7"/>
  <c r="D6"/>
  <c r="D5"/>
  <c r="A3"/>
  <c r="E21" s="1"/>
  <c r="D63" i="5"/>
  <c r="D62"/>
  <c r="D61"/>
  <c r="D60"/>
  <c r="D59"/>
  <c r="D58"/>
  <c r="D57"/>
  <c r="D56"/>
  <c r="D55"/>
  <c r="D54"/>
  <c r="D53"/>
  <c r="D52"/>
  <c r="D50"/>
  <c r="D49"/>
  <c r="D47"/>
  <c r="D45"/>
  <c r="D43"/>
  <c r="D42"/>
  <c r="D41"/>
  <c r="D37"/>
  <c r="D36"/>
  <c r="D35"/>
  <c r="D34"/>
  <c r="D33"/>
  <c r="D32"/>
  <c r="D30"/>
  <c r="D29"/>
  <c r="D27"/>
  <c r="D26"/>
  <c r="D25"/>
  <c r="D24"/>
  <c r="D23"/>
  <c r="D22"/>
  <c r="D21"/>
  <c r="D20"/>
  <c r="D19"/>
  <c r="D18"/>
  <c r="D17"/>
  <c r="D16"/>
  <c r="D15"/>
  <c r="D14"/>
  <c r="D13"/>
  <c r="D12"/>
  <c r="D11"/>
  <c r="E11" s="1"/>
  <c r="D10"/>
  <c r="D9"/>
  <c r="D8"/>
  <c r="D7"/>
  <c r="E7" s="1"/>
  <c r="D6"/>
  <c r="A3"/>
  <c r="E31" s="1"/>
  <c r="E18" i="34" l="1"/>
  <c r="E8" i="5"/>
  <c r="E53"/>
  <c r="E6"/>
  <c r="E10"/>
  <c r="E14"/>
  <c r="E18"/>
  <c r="E22"/>
  <c r="E26"/>
  <c r="E32"/>
  <c r="E36"/>
  <c r="E43"/>
  <c r="E50"/>
  <c r="E55"/>
  <c r="E59"/>
  <c r="E63"/>
  <c r="E49"/>
  <c r="E24"/>
  <c r="E35"/>
  <c r="E12"/>
  <c r="E16"/>
  <c r="E20"/>
  <c r="E57"/>
  <c r="E61"/>
  <c r="E39"/>
  <c r="E15"/>
  <c r="E19"/>
  <c r="E23"/>
  <c r="E27"/>
  <c r="E33"/>
  <c r="E37"/>
  <c r="E45"/>
  <c r="E52"/>
  <c r="E56"/>
  <c r="E60"/>
  <c r="E5"/>
  <c r="E5" i="34"/>
  <c r="E9"/>
  <c r="E11"/>
  <c r="E20"/>
  <c r="E29" i="5"/>
  <c r="E34"/>
  <c r="E41"/>
  <c r="E47"/>
  <c r="E48"/>
  <c r="E13" i="34"/>
  <c r="E40" i="5"/>
  <c r="AC46"/>
  <c r="E9"/>
  <c r="E13"/>
  <c r="E17"/>
  <c r="E21"/>
  <c r="E25"/>
  <c r="E30"/>
  <c r="E42"/>
  <c r="E54"/>
  <c r="E58"/>
  <c r="E62"/>
  <c r="E44"/>
  <c r="E28"/>
  <c r="E7" i="34"/>
  <c r="E16"/>
  <c r="E51" i="5"/>
  <c r="E38"/>
  <c r="E46"/>
  <c r="E6" i="34"/>
  <c r="E8"/>
  <c r="E10"/>
  <c r="E12"/>
  <c r="E15"/>
  <c r="E17"/>
  <c r="E19"/>
  <c r="E6" i="33"/>
  <c r="E9"/>
  <c r="E8"/>
  <c r="E17"/>
  <c r="E5"/>
  <c r="E7"/>
  <c r="E11"/>
  <c r="E15"/>
  <c r="E13"/>
  <c r="E16"/>
  <c r="E10"/>
  <c r="E12"/>
  <c r="E18"/>
  <c r="E14"/>
  <c r="E19"/>
  <c r="E20"/>
  <c r="B24" l="1"/>
  <c r="B68" i="5"/>
  <c r="B23" i="34"/>
  <c r="C25" i="15"/>
  <c r="C26"/>
  <c r="C24"/>
  <c r="C5"/>
  <c r="C6"/>
  <c r="C7"/>
  <c r="C8"/>
  <c r="C9"/>
  <c r="C10"/>
  <c r="C11"/>
  <c r="C12"/>
  <c r="C13"/>
  <c r="C4"/>
  <c r="S6" i="16" l="1"/>
  <c r="U6" s="1"/>
  <c r="S5"/>
  <c r="U5" s="1"/>
  <c r="S4"/>
  <c r="U4" s="1"/>
  <c r="C25"/>
  <c r="E25" s="1"/>
  <c r="C26"/>
  <c r="E26" s="1"/>
  <c r="C27"/>
  <c r="E27" s="1"/>
  <c r="C28"/>
  <c r="E28" s="1"/>
  <c r="C29"/>
  <c r="E29" s="1"/>
  <c r="C30"/>
  <c r="E30" s="1"/>
  <c r="C31"/>
  <c r="E31" s="1"/>
  <c r="C32"/>
  <c r="E32" s="1"/>
  <c r="C33"/>
  <c r="E33" s="1"/>
  <c r="C34"/>
  <c r="E34" s="1"/>
  <c r="C18"/>
  <c r="E18" s="1"/>
  <c r="C19"/>
  <c r="E19" s="1"/>
  <c r="C20"/>
  <c r="E20" s="1"/>
  <c r="C21"/>
  <c r="E21" s="1"/>
  <c r="C5"/>
  <c r="C6"/>
  <c r="C7"/>
  <c r="C8"/>
  <c r="C9"/>
  <c r="E9" s="1"/>
  <c r="C10"/>
  <c r="E10" s="1"/>
  <c r="C11"/>
  <c r="E11" s="1"/>
  <c r="C12"/>
  <c r="E12" s="1"/>
  <c r="C13"/>
  <c r="E13" s="1"/>
  <c r="C14"/>
  <c r="C15"/>
  <c r="E15" s="1"/>
  <c r="C16"/>
  <c r="E16" s="1"/>
  <c r="C17"/>
  <c r="E17" s="1"/>
  <c r="C22"/>
  <c r="C23"/>
  <c r="C24"/>
  <c r="C35"/>
  <c r="C36"/>
  <c r="C37"/>
  <c r="C38"/>
  <c r="C4"/>
  <c r="E14"/>
  <c r="R8" l="1"/>
  <c r="R10" s="1"/>
  <c r="B82" i="4" l="1"/>
  <c r="C82" s="1"/>
  <c r="B26" l="1"/>
  <c r="B57"/>
  <c r="B77"/>
  <c r="A3" i="31"/>
  <c r="A3" i="4"/>
  <c r="C60" s="1"/>
  <c r="C80" l="1"/>
  <c r="C79"/>
  <c r="C15" i="31"/>
  <c r="C25"/>
  <c r="C6"/>
  <c r="C5"/>
  <c r="C20"/>
  <c r="C19"/>
  <c r="C66" i="4"/>
  <c r="C23" i="31"/>
  <c r="C24"/>
  <c r="C7"/>
  <c r="C16"/>
  <c r="C72" i="4"/>
  <c r="C73"/>
  <c r="C65"/>
  <c r="C8" i="31"/>
  <c r="C10"/>
  <c r="C13"/>
  <c r="C17"/>
  <c r="C69" i="4"/>
  <c r="C61"/>
  <c r="C76"/>
  <c r="C70"/>
  <c r="C62"/>
  <c r="C77"/>
  <c r="C74"/>
  <c r="C67"/>
  <c r="C63"/>
  <c r="C78"/>
  <c r="C75"/>
  <c r="C71"/>
  <c r="C68"/>
  <c r="C64"/>
  <c r="C9" i="31"/>
  <c r="C11"/>
  <c r="C12"/>
  <c r="C14"/>
  <c r="C18"/>
  <c r="C21"/>
  <c r="C22"/>
  <c r="C26" i="4"/>
  <c r="C27"/>
  <c r="C28"/>
  <c r="C29"/>
  <c r="C30"/>
  <c r="C31"/>
  <c r="C32"/>
  <c r="C33"/>
  <c r="C34"/>
  <c r="C35"/>
  <c r="AD45" i="1"/>
  <c r="L64"/>
  <c r="P64"/>
  <c r="H64"/>
  <c r="B34" i="31" l="1"/>
  <c r="X45" i="1"/>
  <c r="AE45"/>
  <c r="T45"/>
  <c r="P45"/>
  <c r="E43" l="1"/>
  <c r="G45" l="1"/>
  <c r="G39"/>
  <c r="G37"/>
  <c r="G38"/>
  <c r="G47"/>
  <c r="G50"/>
  <c r="G27"/>
  <c r="G30"/>
  <c r="G4"/>
  <c r="E27"/>
  <c r="E30"/>
  <c r="E37"/>
  <c r="E38"/>
  <c r="E39"/>
  <c r="E45"/>
  <c r="E47"/>
  <c r="E50"/>
  <c r="D61"/>
  <c r="E61" s="1"/>
  <c r="D58"/>
  <c r="E58" s="1"/>
  <c r="D59" l="1"/>
  <c r="E59" s="1"/>
  <c r="F60"/>
  <c r="G60" s="1"/>
  <c r="D60"/>
  <c r="E60" s="1"/>
  <c r="F62"/>
  <c r="G62" s="1"/>
  <c r="D62"/>
  <c r="E62" s="1"/>
  <c r="F57"/>
  <c r="G57" s="1"/>
  <c r="D57"/>
  <c r="E57" s="1"/>
  <c r="D56"/>
  <c r="E56" s="1"/>
  <c r="D55"/>
  <c r="E55" s="1"/>
  <c r="F54"/>
  <c r="G54" s="1"/>
  <c r="D54"/>
  <c r="E54" s="1"/>
  <c r="F53"/>
  <c r="G53" s="1"/>
  <c r="D53"/>
  <c r="E53" s="1"/>
  <c r="F52"/>
  <c r="G52" s="1"/>
  <c r="D52"/>
  <c r="E52" s="1"/>
  <c r="D51"/>
  <c r="E51" s="1"/>
  <c r="F49"/>
  <c r="G49" s="1"/>
  <c r="D49"/>
  <c r="E49" s="1"/>
  <c r="F48"/>
  <c r="G48" s="1"/>
  <c r="D48"/>
  <c r="E48" s="1"/>
  <c r="F46"/>
  <c r="G46" s="1"/>
  <c r="D46"/>
  <c r="E46" s="1"/>
  <c r="D44"/>
  <c r="E44" s="1"/>
  <c r="D41"/>
  <c r="E41" s="1"/>
  <c r="F41"/>
  <c r="G41" s="1"/>
  <c r="D42"/>
  <c r="E42" s="1"/>
  <c r="F42"/>
  <c r="G42" s="1"/>
  <c r="F40"/>
  <c r="G40" s="1"/>
  <c r="D40"/>
  <c r="E40" s="1"/>
  <c r="F36"/>
  <c r="G36" s="1"/>
  <c r="D36"/>
  <c r="E36" s="1"/>
  <c r="F35"/>
  <c r="G35" s="1"/>
  <c r="D35"/>
  <c r="E35" s="1"/>
  <c r="F34"/>
  <c r="G34" s="1"/>
  <c r="D34"/>
  <c r="E34" s="1"/>
  <c r="F33"/>
  <c r="G33" s="1"/>
  <c r="D33"/>
  <c r="E33" s="1"/>
  <c r="F32"/>
  <c r="G32" s="1"/>
  <c r="D32"/>
  <c r="E32" s="1"/>
  <c r="F31"/>
  <c r="G31" s="1"/>
  <c r="D31"/>
  <c r="E31" s="1"/>
  <c r="F29"/>
  <c r="G29" s="1"/>
  <c r="D29"/>
  <c r="E29" s="1"/>
  <c r="F28"/>
  <c r="G28" s="1"/>
  <c r="D28"/>
  <c r="E28" s="1"/>
  <c r="F24"/>
  <c r="G24" s="1"/>
  <c r="F25"/>
  <c r="G25" s="1"/>
  <c r="F26"/>
  <c r="G26" s="1"/>
  <c r="D25"/>
  <c r="E25" s="1"/>
  <c r="D26"/>
  <c r="E26" s="1"/>
  <c r="D24"/>
  <c r="E24" s="1"/>
  <c r="F23"/>
  <c r="G23" s="1"/>
  <c r="D23"/>
  <c r="E23" s="1"/>
  <c r="F22"/>
  <c r="G22" s="1"/>
  <c r="D22"/>
  <c r="E22" s="1"/>
  <c r="D21"/>
  <c r="E21" s="1"/>
  <c r="D20"/>
  <c r="E20" s="1"/>
  <c r="F19"/>
  <c r="G19" s="1"/>
  <c r="D19"/>
  <c r="E19" s="1"/>
  <c r="D18"/>
  <c r="E18" s="1"/>
  <c r="F17"/>
  <c r="G17" s="1"/>
  <c r="D17"/>
  <c r="E17" s="1"/>
  <c r="D16"/>
  <c r="E16" s="1"/>
  <c r="F16"/>
  <c r="G16" s="1"/>
  <c r="D15"/>
  <c r="E15" s="1"/>
  <c r="F15"/>
  <c r="G15" s="1"/>
  <c r="D14"/>
  <c r="E14" s="1"/>
  <c r="F14"/>
  <c r="G14" s="1"/>
  <c r="D13"/>
  <c r="E13" s="1"/>
  <c r="F13"/>
  <c r="G13" s="1"/>
  <c r="D12"/>
  <c r="E12" s="1"/>
  <c r="F12"/>
  <c r="G12" s="1"/>
  <c r="D11"/>
  <c r="E11" s="1"/>
  <c r="F11"/>
  <c r="G11" s="1"/>
  <c r="D10"/>
  <c r="E10" s="1"/>
  <c r="F10"/>
  <c r="G10" s="1"/>
  <c r="D9"/>
  <c r="E9" s="1"/>
  <c r="F9"/>
  <c r="G9" s="1"/>
  <c r="F8"/>
  <c r="G8" s="1"/>
  <c r="F7"/>
  <c r="G7" s="1"/>
  <c r="F6"/>
  <c r="G6" s="1"/>
  <c r="D6"/>
  <c r="E6" s="1"/>
  <c r="D7"/>
  <c r="E7" s="1"/>
  <c r="D8"/>
  <c r="E8" s="1"/>
  <c r="F5"/>
  <c r="G5" s="1"/>
  <c r="D5"/>
  <c r="E5" s="1"/>
  <c r="E26" i="15" l="1"/>
  <c r="E24"/>
  <c r="E5" i="16"/>
  <c r="E6"/>
  <c r="E7"/>
  <c r="E8"/>
  <c r="E22"/>
  <c r="E23"/>
  <c r="E24"/>
  <c r="E35"/>
  <c r="E36"/>
  <c r="E37"/>
  <c r="E38"/>
  <c r="E4"/>
  <c r="E5" i="15"/>
  <c r="E6"/>
  <c r="E7"/>
  <c r="E8"/>
  <c r="E9"/>
  <c r="E10"/>
  <c r="E11"/>
  <c r="E12"/>
  <c r="E13"/>
  <c r="E4"/>
  <c r="B11" i="20" l="1"/>
  <c r="B40" i="16"/>
  <c r="B42" s="1"/>
  <c r="B49" s="1"/>
  <c r="E25" i="15"/>
  <c r="B28" s="1"/>
  <c r="B30" s="1"/>
  <c r="B15"/>
  <c r="B17" s="1"/>
  <c r="B36" l="1"/>
  <c r="C58" i="4" l="1"/>
  <c r="C59"/>
  <c r="C43"/>
  <c r="C40"/>
  <c r="C41"/>
  <c r="C42"/>
  <c r="C44"/>
  <c r="C45"/>
  <c r="C46"/>
  <c r="C47"/>
  <c r="C48"/>
  <c r="C49"/>
  <c r="C50"/>
  <c r="C51"/>
  <c r="C52"/>
  <c r="C53"/>
  <c r="C54"/>
  <c r="C55"/>
  <c r="C56"/>
  <c r="C57"/>
  <c r="C39"/>
  <c r="C38"/>
  <c r="C37"/>
  <c r="C3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B84" l="1"/>
  <c r="E4" i="1"/>
  <c r="E64" l="1"/>
</calcChain>
</file>

<file path=xl/sharedStrings.xml><?xml version="1.0" encoding="utf-8"?>
<sst xmlns="http://schemas.openxmlformats.org/spreadsheetml/2006/main" count="2498" uniqueCount="500">
  <si>
    <t>Área do Teto</t>
  </si>
  <si>
    <t>Área do Piso</t>
  </si>
  <si>
    <t>Perímetro Interno</t>
  </si>
  <si>
    <t>Área das Paredes</t>
  </si>
  <si>
    <t>Circulação</t>
  </si>
  <si>
    <t>DML</t>
  </si>
  <si>
    <t>A DESCONTAR</t>
  </si>
  <si>
    <t>Dim. Horiz. Interna</t>
  </si>
  <si>
    <t>Dim. Vert. Interna</t>
  </si>
  <si>
    <t>Janela 1</t>
  </si>
  <si>
    <t>Dim. Horiz.</t>
  </si>
  <si>
    <t>Dim. Vertical</t>
  </si>
  <si>
    <t>Janela 2</t>
  </si>
  <si>
    <t>Janela 3</t>
  </si>
  <si>
    <t>Janela 4</t>
  </si>
  <si>
    <t>Porta 1</t>
  </si>
  <si>
    <t>Porta 2</t>
  </si>
  <si>
    <t>Porta 3</t>
  </si>
  <si>
    <t>Porta 4</t>
  </si>
  <si>
    <t>Porta 5</t>
  </si>
  <si>
    <t>Porta 6</t>
  </si>
  <si>
    <t>PÉ-DIREITO:</t>
  </si>
  <si>
    <t>Boqueta</t>
  </si>
  <si>
    <t>Vão Passagem</t>
  </si>
  <si>
    <t>Fachada</t>
  </si>
  <si>
    <t>Platibanda</t>
  </si>
  <si>
    <t>Dimensão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</si>
  <si>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</si>
  <si>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</si>
  <si>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</si>
  <si>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</si>
  <si>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</si>
  <si>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</si>
  <si>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</si>
  <si>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</si>
  <si>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</si>
  <si>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</si>
  <si>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</si>
  <si>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</si>
  <si>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</si>
  <si>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</si>
  <si>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</si>
  <si>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</si>
  <si>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</si>
  <si>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</si>
  <si>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</si>
  <si>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</si>
  <si>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</si>
  <si>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</si>
  <si>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</si>
  <si>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</si>
  <si>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</si>
  <si>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</si>
  <si>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</si>
  <si>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</si>
  <si>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</si>
  <si>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</si>
  <si>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</si>
  <si>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</si>
  <si>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</si>
  <si>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</si>
  <si>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</si>
  <si>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</si>
  <si>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</si>
  <si>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</si>
  <si>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</si>
  <si>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</si>
  <si>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</si>
  <si>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</si>
  <si>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</si>
  <si>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</si>
  <si>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</si>
  <si>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</si>
  <si>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</si>
  <si>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</si>
  <si>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</si>
  <si>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</si>
  <si>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</si>
  <si>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</si>
  <si>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</si>
  <si>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</si>
  <si>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</si>
  <si>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</si>
  <si>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TOTAL</t>
  </si>
  <si>
    <t>Chapim metálico</t>
  </si>
  <si>
    <t>Rufo e contra-rufo</t>
  </si>
  <si>
    <t>Calha de chapa galvanizada</t>
  </si>
  <si>
    <t>Área</t>
  </si>
  <si>
    <t>Comprimento</t>
  </si>
  <si>
    <t>Assento Articulado para Chuveiro PNE</t>
  </si>
  <si>
    <t>Assento Branco Para Vaso</t>
  </si>
  <si>
    <t>Ducha Higiênica</t>
  </si>
  <si>
    <t>Saboneteira para Sabonete Líquido</t>
  </si>
  <si>
    <t>Porta Papel Toalha</t>
  </si>
  <si>
    <t>Papeleira Metálica Cromada, Inclusive Fixação</t>
  </si>
  <si>
    <t>Bancada em Granito, Apoiada em Metalon</t>
  </si>
  <si>
    <t>Bancada em Granito, Apoiada em Alvenaria</t>
  </si>
  <si>
    <t>Chuveiro Elétrico Comum</t>
  </si>
  <si>
    <t>40 cm a mais</t>
  </si>
  <si>
    <t>Vergas e Contra-Vergas</t>
  </si>
  <si>
    <t>Compr. Linear</t>
  </si>
  <si>
    <t>nº de Janelas</t>
  </si>
  <si>
    <t>nº de Portas</t>
  </si>
  <si>
    <t>Vergas</t>
  </si>
  <si>
    <t>Passeio em concreto</t>
  </si>
  <si>
    <t>Rodapé</t>
  </si>
  <si>
    <t>Correr</t>
  </si>
  <si>
    <t>Abrir</t>
  </si>
  <si>
    <t>Elevador 1</t>
  </si>
  <si>
    <t>Elevador 2</t>
  </si>
  <si>
    <t>Elevador</t>
  </si>
  <si>
    <t>Administração</t>
  </si>
  <si>
    <t>Sala TI</t>
  </si>
  <si>
    <t>Rouparia</t>
  </si>
  <si>
    <t>Utilidades</t>
  </si>
  <si>
    <t>Consult. Difer.</t>
  </si>
  <si>
    <t>Gesso Red Frat</t>
  </si>
  <si>
    <t>Radiologia</t>
  </si>
  <si>
    <t>Sanitário 1</t>
  </si>
  <si>
    <t>Sanitário 2</t>
  </si>
  <si>
    <t>Comando</t>
  </si>
  <si>
    <t>Laudos</t>
  </si>
  <si>
    <t>Shaft</t>
  </si>
  <si>
    <t>Coordenação</t>
  </si>
  <si>
    <t>Hall</t>
  </si>
  <si>
    <t>Consultório 4</t>
  </si>
  <si>
    <t>Copa</t>
  </si>
  <si>
    <t>Consultório 3</t>
  </si>
  <si>
    <t>Sanit. PNE</t>
  </si>
  <si>
    <t>Reunião</t>
  </si>
  <si>
    <t>Consultório 2</t>
  </si>
  <si>
    <t>Consultório 1</t>
  </si>
  <si>
    <t>Sus Fácil</t>
  </si>
  <si>
    <t>Triagem Enfer</t>
  </si>
  <si>
    <t>Sanitário</t>
  </si>
  <si>
    <t>Hall Sanitários</t>
  </si>
  <si>
    <t>Fraldário</t>
  </si>
  <si>
    <t>Serviços Sociais</t>
  </si>
  <si>
    <t>Posto Policial</t>
  </si>
  <si>
    <t>Escada II</t>
  </si>
  <si>
    <t>Inalação Pediátrica</t>
  </si>
  <si>
    <t>Farmácia Depósito</t>
  </si>
  <si>
    <t>Farmácia Dispensão</t>
  </si>
  <si>
    <t>Atend / Sala Espera</t>
  </si>
  <si>
    <t>Emerg. Odontológica</t>
  </si>
  <si>
    <t>Aplicação Medicam.</t>
  </si>
  <si>
    <t>Emergências 4 Leitos</t>
  </si>
  <si>
    <t>Higienização</t>
  </si>
  <si>
    <t>Suturas e Curativos</t>
  </si>
  <si>
    <t>Sala p/ Exames Difer</t>
  </si>
  <si>
    <t>Escada I</t>
  </si>
  <si>
    <t>Almoxarifado</t>
  </si>
  <si>
    <t>Rampa</t>
  </si>
  <si>
    <t>Arquivos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</si>
  <si>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</si>
  <si>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</si>
  <si>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</si>
  <si>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</si>
  <si>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</si>
  <si>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</si>
  <si>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</si>
  <si>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</si>
  <si>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</si>
  <si>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</si>
  <si>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</si>
  <si>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</si>
  <si>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</si>
  <si>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</si>
  <si>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</si>
  <si>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V28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</si>
  <si>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</si>
  <si>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</si>
  <si>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</si>
  <si>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</si>
  <si>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</si>
  <si>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</si>
  <si>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</si>
  <si>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</si>
  <si>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</si>
  <si>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</si>
  <si>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</si>
  <si>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</si>
  <si>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</si>
  <si>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</si>
  <si>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</si>
  <si>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</si>
  <si>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</si>
  <si>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</si>
  <si>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</si>
  <si>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</si>
  <si>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</si>
  <si>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</si>
  <si>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</si>
  <si>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</si>
  <si>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</si>
  <si>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Jardim</t>
  </si>
  <si>
    <t>Volume</t>
  </si>
  <si>
    <t>Obs.: Considerando b = 12 cm (alvenaria de 15 cm) e h = 19 cm</t>
  </si>
  <si>
    <t>Obs.: Considerando b = 15 cm (alvenaria de 20 cm) e h = 19 cm</t>
  </si>
  <si>
    <t>VOLUME TOTAL</t>
  </si>
  <si>
    <t>Janela 5</t>
  </si>
  <si>
    <t>Janela 6</t>
  </si>
  <si>
    <t>Janela 7</t>
  </si>
  <si>
    <t>Janela 8</t>
  </si>
  <si>
    <t>Janela 9</t>
  </si>
  <si>
    <t>Janela 10</t>
  </si>
  <si>
    <t>Janela 11</t>
  </si>
  <si>
    <t>Comprimento TOTAL</t>
  </si>
  <si>
    <t>Volume TOTAL</t>
  </si>
  <si>
    <t>Cobertura em telha metálica</t>
  </si>
  <si>
    <t>Impermeabilização com manta asfáltica</t>
  </si>
  <si>
    <t>Camada de regularização argamassa</t>
  </si>
  <si>
    <t>Total</t>
  </si>
  <si>
    <t>BARRADO:</t>
  </si>
  <si>
    <t>ÁREA TOTAL</t>
  </si>
  <si>
    <t>Obs.: Considerando pintura epóxi até o teto</t>
  </si>
  <si>
    <t>Obs.: Considerando barrado de pintura epóxi de 1,40 m</t>
  </si>
  <si>
    <t>Obs.: Considerando pintura acrílica até o teto</t>
  </si>
  <si>
    <t>Obs.: Considerando pintura acrílica a partir do barrado de epóxi de 1,40 m</t>
  </si>
  <si>
    <t>Obs.: Reboco com argamassa baritada</t>
  </si>
  <si>
    <t>Porta 7</t>
  </si>
  <si>
    <t>Porta 8</t>
  </si>
  <si>
    <t>Porta 9</t>
  </si>
  <si>
    <t>Porta 10</t>
  </si>
  <si>
    <t>Porta 11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</si>
  <si>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</si>
  <si>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</si>
  <si>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</si>
  <si>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</si>
  <si>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</si>
  <si>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</si>
  <si>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</si>
  <si>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</si>
  <si>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</si>
  <si>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</si>
  <si>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</si>
  <si>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</si>
  <si>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</si>
  <si>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</si>
  <si>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</si>
  <si>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</si>
  <si>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</si>
  <si>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</si>
  <si>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</si>
  <si>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</si>
  <si>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</si>
  <si>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</si>
  <si>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</si>
  <si>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</si>
  <si>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</si>
  <si>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</si>
  <si>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</si>
  <si>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</si>
  <si>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</si>
  <si>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200x100</t>
  </si>
  <si>
    <t>415x100</t>
  </si>
  <si>
    <t>335x100</t>
  </si>
  <si>
    <t>220x100</t>
  </si>
  <si>
    <t>1155x100</t>
  </si>
  <si>
    <t>1390x100</t>
  </si>
  <si>
    <t>100x80</t>
  </si>
  <si>
    <t>150x100</t>
  </si>
  <si>
    <t>210x210</t>
  </si>
  <si>
    <t>80x210</t>
  </si>
  <si>
    <t>90x210</t>
  </si>
  <si>
    <t>160x210</t>
  </si>
  <si>
    <t>300x210</t>
  </si>
  <si>
    <t>770x350</t>
  </si>
  <si>
    <t>110x210</t>
  </si>
  <si>
    <t>120x210</t>
  </si>
  <si>
    <t>P = 0</t>
  </si>
  <si>
    <t>P = 165</t>
  </si>
  <si>
    <t>P = 185</t>
  </si>
  <si>
    <t>4 Folhas</t>
  </si>
  <si>
    <t>1 Folha</t>
  </si>
  <si>
    <t>2 Folhas</t>
  </si>
  <si>
    <t>Pele Vidro</t>
  </si>
  <si>
    <t>Máx. Ar</t>
  </si>
  <si>
    <t>Bascul.</t>
  </si>
  <si>
    <t>Vidro Temp.</t>
  </si>
  <si>
    <t>Aço Carb. Vid. Lam.</t>
  </si>
  <si>
    <t>Vid Temp - Pele Vid</t>
  </si>
  <si>
    <t>Madeira Lami Mel</t>
  </si>
  <si>
    <t>Venez Metálica</t>
  </si>
  <si>
    <t>Madeira Rev Chum</t>
  </si>
  <si>
    <t>Madeira com Visor</t>
  </si>
  <si>
    <t>Vaga de Ambulância</t>
  </si>
  <si>
    <t>Embarque e Desemb.</t>
  </si>
  <si>
    <t>Hall de Entrada</t>
  </si>
  <si>
    <t>GRANITO POLIDO</t>
  </si>
  <si>
    <t>GRANITO TEXTUR.</t>
  </si>
  <si>
    <t>Rampa de Entrada</t>
  </si>
  <si>
    <t>500x100</t>
  </si>
  <si>
    <t>275x100</t>
  </si>
  <si>
    <t>710x100</t>
  </si>
  <si>
    <t>105x180</t>
  </si>
  <si>
    <t>775x295</t>
  </si>
  <si>
    <t>480x265</t>
  </si>
  <si>
    <t>300x100</t>
  </si>
  <si>
    <t>P = 100</t>
  </si>
  <si>
    <t>P = 50</t>
  </si>
  <si>
    <t>Pele de Vidro</t>
  </si>
  <si>
    <t>500x265</t>
  </si>
  <si>
    <t>Vaso Sanit com Válvula de Descarga (PNE) e Sóculo</t>
  </si>
  <si>
    <t>Assento para Vaso PNE</t>
  </si>
  <si>
    <t>Barra para PNE vaso sanitário 80cm (horizontal)</t>
  </si>
  <si>
    <t>Barra para PNE vaso sanitário 70cm (vertical)</t>
  </si>
  <si>
    <t>Vaso Sanitário com Válvula de Descarga</t>
  </si>
  <si>
    <t>Papeleira Plástica para Papel Higiênico Rolão</t>
  </si>
  <si>
    <t>Braço para Chuveiro</t>
  </si>
  <si>
    <t>Barra para PNE chuveiro 70cm (horizontal)</t>
  </si>
  <si>
    <t>Barra para PNE chuveiro 70cm (vertical)</t>
  </si>
  <si>
    <t>Espelho Cristal, e = 4 mm, Paraf Parede, h = 90 cm</t>
  </si>
  <si>
    <t>Porta Álcool em Gel</t>
  </si>
  <si>
    <t>Cabide Metálico Cromado</t>
  </si>
  <si>
    <t>Testeira em Granito Cinza Andorinha</t>
  </si>
  <si>
    <t>Rodabancada em Granito Cinza Andorinha e=10 cm</t>
  </si>
  <si>
    <t>Cuba de Louça Branca Oval de Embutir</t>
  </si>
  <si>
    <t>Lavatório Médio com Coluna</t>
  </si>
  <si>
    <t>Lavatório Médio sem Coluna</t>
  </si>
  <si>
    <t>Barra para PNE lavatório 40cm (vertical)</t>
  </si>
  <si>
    <t>Barra para PNE lavatório 80cm ("U")</t>
  </si>
  <si>
    <t>Torneira para Lavatório</t>
  </si>
  <si>
    <t>Torneira de Mesa para Pia de Cozinha</t>
  </si>
  <si>
    <t>Bojo em Aço Inox</t>
  </si>
  <si>
    <t>Pia de Despejo</t>
  </si>
  <si>
    <t>Barra para PNE porta 40cm (horizontal)</t>
  </si>
  <si>
    <t>Divisória em Granito Cinza Andorinha</t>
  </si>
  <si>
    <t>Tanque de Louça Branca</t>
  </si>
  <si>
    <t>Torneira para Tanque em Metal Cromado</t>
  </si>
  <si>
    <t>Protetor de Parede Bate-Maca</t>
  </si>
  <si>
    <t>Corrimão</t>
  </si>
  <si>
    <t>Guarda-Corpo</t>
  </si>
  <si>
    <t>Alçapão</t>
  </si>
  <si>
    <t>Plantio de Grama Esmeralda</t>
  </si>
  <si>
    <t>Bebedouro</t>
  </si>
  <si>
    <t>Torneira para Bebedouro</t>
  </si>
  <si>
    <t>Peitoril de Granito Cinza Andorinha</t>
  </si>
  <si>
    <t>Área Externa</t>
  </si>
  <si>
    <t>Drywall</t>
  </si>
  <si>
    <t>Divisória em Vidro Temperado</t>
  </si>
  <si>
    <t>Divisória em Fórmica</t>
  </si>
  <si>
    <t>Escada Marinheiro</t>
  </si>
  <si>
    <t>nº de Degraus</t>
  </si>
  <si>
    <t>Dim. Escada</t>
  </si>
  <si>
    <t>Comprim.</t>
  </si>
  <si>
    <t>FAIXA ANTIDERRAP.</t>
  </si>
  <si>
    <t>Quantid.</t>
  </si>
  <si>
    <t>Vagas Carro</t>
  </si>
  <si>
    <t>Vagas Moto</t>
  </si>
  <si>
    <t>ALVENARIA COM ESPESSURA ACABADA DE 15 cm</t>
  </si>
  <si>
    <t>ALVENARIA COM ESPESSURA ACABADA DE 20 cm</t>
  </si>
  <si>
    <t>ENCUNHAMENTO DE ALVENARIA</t>
  </si>
  <si>
    <t>VERGAS DE JANELAS</t>
  </si>
  <si>
    <t>CONTRA-VERGAS DE JANELAS</t>
  </si>
  <si>
    <t>VERGAS DE PORTAS</t>
  </si>
  <si>
    <t>COBERTURA</t>
  </si>
  <si>
    <t>CHAPISCO DE PAREDES</t>
  </si>
  <si>
    <t>REBOCO DE PAREDES</t>
  </si>
  <si>
    <t>EMBOÇO DE PAREDES</t>
  </si>
  <si>
    <t>CERÂMICA DE PAREDES</t>
  </si>
  <si>
    <t>Referente ao item 7.1</t>
  </si>
  <si>
    <t>Referente ao item 7.2</t>
  </si>
  <si>
    <t>Referente ao item 7.5</t>
  </si>
  <si>
    <t>Referente ao item 7.3</t>
  </si>
  <si>
    <t>Referente ao item 7.4</t>
  </si>
  <si>
    <t>Referente ao item 10.1 e 10.2</t>
  </si>
  <si>
    <t>Referente ao item 10.3</t>
  </si>
  <si>
    <t>Referente ao item 10.4</t>
  </si>
  <si>
    <t>Referente ao item 10.5</t>
  </si>
  <si>
    <t>Referente ao item 10.6</t>
  </si>
  <si>
    <t>Referente ao item 10.7</t>
  </si>
  <si>
    <t>Referente ao item 8.1.1.1</t>
  </si>
  <si>
    <t>Referente ao item 8.1.1.2</t>
  </si>
  <si>
    <t>Referente ao item 8.1.1.6</t>
  </si>
  <si>
    <t>REBOCO DE PAREDES COM ARGAMASSA BARITADA</t>
  </si>
  <si>
    <t>Referente ao item 8.1.1.3</t>
  </si>
  <si>
    <t>Referente ao item 8.1.1.8</t>
  </si>
  <si>
    <t>SELADOR EM PAREDES</t>
  </si>
  <si>
    <t>Referente ao item 12.1.3</t>
  </si>
  <si>
    <t>EMASSAMENTO DE PAREDES</t>
  </si>
  <si>
    <t>Referente ao item 12.1.1</t>
  </si>
  <si>
    <t>PINTURA EM EPÓXI</t>
  </si>
  <si>
    <t>Referente ao item 12.1.7</t>
  </si>
  <si>
    <t>PINTURA EM EPÓXI PARA DEMARCAÇÃO</t>
  </si>
  <si>
    <t>Referente ao item 12.2.1</t>
  </si>
  <si>
    <t>PINTURA EM TINTA ACRÍLICA</t>
  </si>
  <si>
    <t>Referente ao item 12.1.5</t>
  </si>
  <si>
    <t>CHAPISCO NO TETO</t>
  </si>
  <si>
    <t>Referente ao item 8.1.2.1</t>
  </si>
  <si>
    <t>REBOCO NO TETO</t>
  </si>
  <si>
    <t>NÃO TEM</t>
  </si>
  <si>
    <t>EMASSAMENTO NO TETO</t>
  </si>
  <si>
    <t>Referente ao item 12.1.2</t>
  </si>
  <si>
    <t>PINTURA NO TETO</t>
  </si>
  <si>
    <t>Referente ao item 12.1.6</t>
  </si>
  <si>
    <t>FORRO DE GESSO</t>
  </si>
  <si>
    <t>Referente ao item 8.1.2.2 e 10.8</t>
  </si>
  <si>
    <t>EMASSAMENTO NO FORRO DE GESSO</t>
  </si>
  <si>
    <t>PINTURA NO FORRO DE GESSO</t>
  </si>
  <si>
    <t>PISO DE PORCELANATO</t>
  </si>
  <si>
    <t>Referente ao item 9.4</t>
  </si>
  <si>
    <t>PISO EM CERÂMICA</t>
  </si>
  <si>
    <t>Referente ao item 9.5</t>
  </si>
  <si>
    <t>PISO EM CONCRETO POLIDO</t>
  </si>
  <si>
    <t>Referente ao item 9.7 e 9.8</t>
  </si>
  <si>
    <t>PISO EM GRANITO POLIDO</t>
  </si>
  <si>
    <t>PISO EM GRANITO TEXTURIZADO</t>
  </si>
  <si>
    <t>FAIXA ANTI-DERRAPANTE</t>
  </si>
  <si>
    <t>Referente ao item 9.12</t>
  </si>
  <si>
    <t>Referente ao item 9.13</t>
  </si>
  <si>
    <t>CONTRA-PISO</t>
  </si>
  <si>
    <t>Referente ao item 9.3</t>
  </si>
  <si>
    <t>PASSEIO EM CONCRETO</t>
  </si>
  <si>
    <t>Referente ao item 9.11</t>
  </si>
  <si>
    <t>SOLEIRA EM GRANITO</t>
  </si>
  <si>
    <t>Referente ao item 9.10</t>
  </si>
  <si>
    <t>RODAPÉ EM PORCELANATO</t>
  </si>
  <si>
    <t>RODAPÉ EM CERÂMICA</t>
  </si>
  <si>
    <t>RODAPÉ EM GRANITO</t>
  </si>
  <si>
    <t>Referente ao item 9.9</t>
  </si>
  <si>
    <t>Referente ao item 11</t>
  </si>
  <si>
    <t>14.1.1</t>
  </si>
  <si>
    <t>14.1.2</t>
  </si>
  <si>
    <t>14.1.5</t>
  </si>
  <si>
    <t>14.1.4</t>
  </si>
  <si>
    <t>14.1.12</t>
  </si>
  <si>
    <t>14.1.11</t>
  </si>
  <si>
    <t>14.1.8</t>
  </si>
  <si>
    <t>14.1.14</t>
  </si>
  <si>
    <t>14.1.24</t>
  </si>
  <si>
    <t>14.1.3</t>
  </si>
  <si>
    <t>14.1.6</t>
  </si>
  <si>
    <t>13.6</t>
  </si>
  <si>
    <t>14.1.13</t>
  </si>
  <si>
    <t>14.1.10</t>
  </si>
  <si>
    <t>14.1.9</t>
  </si>
  <si>
    <t>14.1.23</t>
  </si>
  <si>
    <t>13.3</t>
  </si>
  <si>
    <t>13.5</t>
  </si>
  <si>
    <t>13.4</t>
  </si>
  <si>
    <t>14.1.16</t>
  </si>
  <si>
    <t>14.1.15</t>
  </si>
  <si>
    <t>14.1.17</t>
  </si>
  <si>
    <t>14.1.18</t>
  </si>
  <si>
    <t>14.1.19</t>
  </si>
  <si>
    <t>14.1.20</t>
  </si>
  <si>
    <t>13.2</t>
  </si>
  <si>
    <t>14.1.21</t>
  </si>
  <si>
    <t>14.1.22</t>
  </si>
  <si>
    <t>13.8</t>
  </si>
  <si>
    <t>13.9</t>
  </si>
  <si>
    <t>13.10</t>
  </si>
  <si>
    <t>13.11</t>
  </si>
  <si>
    <t>13.13</t>
  </si>
  <si>
    <t>13.7</t>
  </si>
  <si>
    <t>14.1.7</t>
  </si>
  <si>
    <t>13.1</t>
  </si>
  <si>
    <t>7.6</t>
  </si>
  <si>
    <t>12.3.3</t>
  </si>
  <si>
    <t>Espelho Escada</t>
  </si>
  <si>
    <t>P14</t>
  </si>
  <si>
    <t>P15</t>
  </si>
  <si>
    <t>P16</t>
  </si>
  <si>
    <t>P17</t>
  </si>
  <si>
    <t>P18</t>
  </si>
  <si>
    <t>P19</t>
  </si>
  <si>
    <t>P20</t>
  </si>
  <si>
    <t>500x350</t>
  </si>
  <si>
    <t>70x210</t>
  </si>
  <si>
    <t>60x150</t>
  </si>
  <si>
    <t>90x180</t>
  </si>
  <si>
    <t>70x180</t>
  </si>
  <si>
    <t>Chapa Lisa Met</t>
  </si>
  <si>
    <t>Grade Metálica</t>
  </si>
  <si>
    <t>MDF Lami Mel</t>
  </si>
  <si>
    <t>Chapa Galvaniz</t>
  </si>
  <si>
    <t>J17</t>
  </si>
  <si>
    <t>J18</t>
  </si>
  <si>
    <t>450x100</t>
  </si>
  <si>
    <t>Vidro Aramado</t>
  </si>
  <si>
    <t>Div. Sanit.</t>
  </si>
  <si>
    <t>Espera Ped.</t>
  </si>
  <si>
    <t>P21</t>
  </si>
  <si>
    <t>Grade</t>
  </si>
  <si>
    <t>Perímetro Externo</t>
  </si>
  <si>
    <t>Fachada 1</t>
  </si>
  <si>
    <t>Fachada 2</t>
  </si>
  <si>
    <t>Fachada 3</t>
  </si>
  <si>
    <t>Fachada 4</t>
  </si>
  <si>
    <t>REVESTIMENTO CERÂMICO NA FACHADA</t>
  </si>
  <si>
    <t>Revest Cer Fachada</t>
  </si>
  <si>
    <t>PISO DE BORRACHA</t>
  </si>
  <si>
    <t>Corta-Fogo</t>
  </si>
  <si>
    <t>P22</t>
  </si>
  <si>
    <t>J19</t>
  </si>
  <si>
    <t>775x640</t>
  </si>
  <si>
    <t>775x310</t>
  </si>
  <si>
    <t>P24</t>
  </si>
  <si>
    <t>155x210</t>
  </si>
</sst>
</file>

<file path=xl/styles.xml><?xml version="1.0" encoding="utf-8"?>
<styleSheet xmlns="http://schemas.openxmlformats.org/spreadsheetml/2006/main">
  <numFmts count="7">
    <numFmt numFmtId="164" formatCode="0.00\ &quot;m²&quot;"/>
    <numFmt numFmtId="165" formatCode="0.00\ &quot;m&quot;"/>
    <numFmt numFmtId="166" formatCode="0,000.00\ &quot;m²&quot;"/>
    <numFmt numFmtId="167" formatCode="0\ &quot;unidade&quot;"/>
    <numFmt numFmtId="168" formatCode="0\ &quot;unidades&quot;"/>
    <numFmt numFmtId="169" formatCode="0\ &quot;unid.&quot;"/>
    <numFmt numFmtId="170" formatCode="0.00\ &quot;m³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5" fontId="4" fillId="0" borderId="9" xfId="0" applyNumberFormat="1" applyFont="1" applyFill="1" applyBorder="1" applyAlignment="1">
      <alignment horizontal="center" vertical="center"/>
    </xf>
    <xf numFmtId="165" fontId="4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8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horizontal="center" vertical="center"/>
    </xf>
    <xf numFmtId="165" fontId="4" fillId="0" borderId="12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6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0" fillId="0" borderId="0" xfId="0" applyNumberFormat="1"/>
    <xf numFmtId="4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1" fillId="0" borderId="0" xfId="0" applyFont="1" applyFill="1"/>
    <xf numFmtId="0" fontId="2" fillId="5" borderId="1" xfId="0" applyFont="1" applyFill="1" applyBorder="1" applyAlignment="1">
      <alignment horizontal="center"/>
    </xf>
    <xf numFmtId="0" fontId="1" fillId="0" borderId="17" xfId="0" applyFont="1" applyFill="1" applyBorder="1"/>
    <xf numFmtId="0" fontId="2" fillId="2" borderId="1" xfId="0" applyFont="1" applyFill="1" applyBorder="1" applyAlignment="1">
      <alignment horizontal="center"/>
    </xf>
    <xf numFmtId="165" fontId="7" fillId="3" borderId="6" xfId="0" applyNumberFormat="1" applyFont="1" applyFill="1" applyBorder="1" applyAlignment="1">
      <alignment horizontal="center" vertical="center"/>
    </xf>
    <xf numFmtId="165" fontId="7" fillId="3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2" fillId="2" borderId="1" xfId="0" applyFont="1" applyFill="1" applyBorder="1" applyAlignment="1">
      <alignment horizontal="center"/>
    </xf>
    <xf numFmtId="165" fontId="3" fillId="0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165" fontId="3" fillId="3" borderId="15" xfId="0" applyNumberFormat="1" applyFont="1" applyFill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0" xfId="0" applyNumberFormat="1" applyFont="1" applyFill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3" xfId="0" applyNumberFormat="1" applyFont="1" applyFill="1" applyBorder="1" applyAlignment="1">
      <alignment horizontal="center" vertical="center"/>
    </xf>
    <xf numFmtId="169" fontId="3" fillId="3" borderId="3" xfId="0" applyNumberFormat="1" applyFont="1" applyFill="1" applyBorder="1" applyAlignment="1">
      <alignment horizontal="center" vertical="center"/>
    </xf>
    <xf numFmtId="0" fontId="9" fillId="0" borderId="0" xfId="0" applyFont="1"/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169" fontId="3" fillId="3" borderId="19" xfId="0" applyNumberFormat="1" applyFont="1" applyFill="1" applyBorder="1" applyAlignment="1">
      <alignment horizontal="center" vertical="center"/>
    </xf>
    <xf numFmtId="0" fontId="9" fillId="0" borderId="18" xfId="0" applyFont="1" applyBorder="1"/>
    <xf numFmtId="169" fontId="3" fillId="0" borderId="19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/>
    </xf>
    <xf numFmtId="169" fontId="3" fillId="3" borderId="11" xfId="0" applyNumberFormat="1" applyFont="1" applyFill="1" applyBorder="1" applyAlignment="1">
      <alignment horizontal="center" vertical="center"/>
    </xf>
    <xf numFmtId="169" fontId="3" fillId="0" borderId="11" xfId="0" applyNumberFormat="1" applyFont="1" applyFill="1" applyBorder="1" applyAlignment="1">
      <alignment horizontal="center" vertical="center"/>
    </xf>
    <xf numFmtId="0" fontId="9" fillId="0" borderId="20" xfId="0" applyFont="1" applyBorder="1"/>
    <xf numFmtId="169" fontId="2" fillId="0" borderId="7" xfId="0" applyNumberFormat="1" applyFont="1" applyFill="1" applyBorder="1" applyAlignment="1">
      <alignment horizontal="center" vertical="center"/>
    </xf>
    <xf numFmtId="169" fontId="3" fillId="3" borderId="1" xfId="0" applyNumberFormat="1" applyFont="1" applyFill="1" applyBorder="1" applyAlignment="1">
      <alignment horizontal="center" vertical="center"/>
    </xf>
    <xf numFmtId="0" fontId="0" fillId="0" borderId="21" xfId="0" applyBorder="1"/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8" xfId="0" applyNumberFormat="1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164" fontId="4" fillId="3" borderId="7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9" fontId="4" fillId="0" borderId="7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6" fontId="2" fillId="0" borderId="6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70" fontId="2" fillId="0" borderId="6" xfId="0" applyNumberFormat="1" applyFont="1" applyFill="1" applyBorder="1" applyAlignment="1">
      <alignment horizontal="center" vertical="center"/>
    </xf>
    <xf numFmtId="170" fontId="2" fillId="0" borderId="7" xfId="0" applyNumberFormat="1" applyFont="1" applyFill="1" applyBorder="1" applyAlignment="1">
      <alignment horizontal="center" vertical="center"/>
    </xf>
    <xf numFmtId="166" fontId="6" fillId="0" borderId="6" xfId="0" applyNumberFormat="1" applyFont="1" applyFill="1" applyBorder="1" applyAlignment="1">
      <alignment horizontal="center" vertical="center"/>
    </xf>
    <xf numFmtId="166" fontId="6" fillId="0" borderId="7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tabColor rgb="FF00FF00"/>
  </sheetPr>
  <dimension ref="A1:AP69"/>
  <sheetViews>
    <sheetView zoomScale="85" zoomScaleNormal="85" workbookViewId="0">
      <pane ySplit="3" topLeftCell="A27" activePane="bottomLeft" state="frozenSplit"/>
      <selection pane="bottomLeft" activeCell="D74" sqref="D74"/>
    </sheetView>
  </sheetViews>
  <sheetFormatPr defaultRowHeight="15"/>
  <cols>
    <col min="1" max="1" width="20.7109375" customWidth="1"/>
    <col min="2" max="4" width="10.7109375" customWidth="1"/>
    <col min="5" max="7" width="10.7109375" style="5" customWidth="1"/>
    <col min="8" max="9" width="7.7109375" customWidth="1"/>
    <col min="10" max="10" width="7.7109375" style="5" customWidth="1"/>
    <col min="11" max="11" width="7.7109375" customWidth="1"/>
    <col min="12" max="31" width="7.7109375" style="5" customWidth="1"/>
    <col min="32" max="34" width="10.7109375" customWidth="1"/>
    <col min="37" max="37" width="15.7109375" customWidth="1"/>
    <col min="41" max="41" width="15.7109375" customWidth="1"/>
  </cols>
  <sheetData>
    <row r="1" spans="1:42" s="3" customFormat="1">
      <c r="A1" s="12" t="s">
        <v>21</v>
      </c>
      <c r="H1" s="147" t="s">
        <v>6</v>
      </c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</row>
    <row r="2" spans="1:42" s="3" customFormat="1">
      <c r="A2" s="13">
        <v>3.4</v>
      </c>
      <c r="H2" s="148" t="s">
        <v>9</v>
      </c>
      <c r="I2" s="149"/>
      <c r="J2" s="148" t="s">
        <v>12</v>
      </c>
      <c r="K2" s="149"/>
      <c r="L2" s="148" t="s">
        <v>13</v>
      </c>
      <c r="M2" s="149"/>
      <c r="N2" s="148" t="s">
        <v>14</v>
      </c>
      <c r="O2" s="149"/>
      <c r="P2" s="148" t="s">
        <v>15</v>
      </c>
      <c r="Q2" s="149"/>
      <c r="R2" s="148" t="s">
        <v>16</v>
      </c>
      <c r="S2" s="149"/>
      <c r="T2" s="148" t="s">
        <v>17</v>
      </c>
      <c r="U2" s="149"/>
      <c r="V2" s="147" t="s">
        <v>18</v>
      </c>
      <c r="W2" s="147"/>
      <c r="X2" s="147" t="s">
        <v>19</v>
      </c>
      <c r="Y2" s="147"/>
      <c r="Z2" s="147" t="s">
        <v>20</v>
      </c>
      <c r="AA2" s="147"/>
      <c r="AB2" s="147" t="s">
        <v>22</v>
      </c>
      <c r="AC2" s="147"/>
      <c r="AD2" s="147" t="s">
        <v>23</v>
      </c>
      <c r="AE2" s="147"/>
    </row>
    <row r="3" spans="1:42" ht="30" customHeight="1">
      <c r="A3" s="1"/>
      <c r="B3" s="10" t="s">
        <v>7</v>
      </c>
      <c r="C3" s="10" t="s">
        <v>8</v>
      </c>
      <c r="D3" s="11" t="s">
        <v>2</v>
      </c>
      <c r="E3" s="11" t="s">
        <v>3</v>
      </c>
      <c r="F3" s="11" t="s">
        <v>1</v>
      </c>
      <c r="G3" s="11" t="s">
        <v>0</v>
      </c>
      <c r="H3" s="2" t="s">
        <v>10</v>
      </c>
      <c r="I3" s="2" t="s">
        <v>11</v>
      </c>
      <c r="J3" s="2" t="s">
        <v>10</v>
      </c>
      <c r="K3" s="2" t="s">
        <v>11</v>
      </c>
      <c r="L3" s="2" t="s">
        <v>10</v>
      </c>
      <c r="M3" s="2" t="s">
        <v>11</v>
      </c>
      <c r="N3" s="2" t="s">
        <v>10</v>
      </c>
      <c r="O3" s="2" t="s">
        <v>11</v>
      </c>
      <c r="P3" s="2" t="s">
        <v>10</v>
      </c>
      <c r="Q3" s="2" t="s">
        <v>11</v>
      </c>
      <c r="R3" s="2" t="s">
        <v>10</v>
      </c>
      <c r="S3" s="2" t="s">
        <v>11</v>
      </c>
      <c r="T3" s="2" t="s">
        <v>10</v>
      </c>
      <c r="U3" s="2" t="s">
        <v>11</v>
      </c>
      <c r="V3" s="2" t="s">
        <v>10</v>
      </c>
      <c r="W3" s="2" t="s">
        <v>11</v>
      </c>
      <c r="X3" s="2" t="s">
        <v>10</v>
      </c>
      <c r="Y3" s="2" t="s">
        <v>11</v>
      </c>
      <c r="Z3" s="2" t="s">
        <v>10</v>
      </c>
      <c r="AA3" s="2" t="s">
        <v>11</v>
      </c>
      <c r="AB3" s="2" t="s">
        <v>10</v>
      </c>
      <c r="AC3" s="2" t="s">
        <v>11</v>
      </c>
      <c r="AD3" s="2" t="s">
        <v>10</v>
      </c>
      <c r="AE3" s="2" t="s">
        <v>11</v>
      </c>
      <c r="AI3" s="1"/>
      <c r="AJ3" s="1"/>
      <c r="AK3" s="1"/>
      <c r="AL3" s="1"/>
      <c r="AM3" s="1"/>
      <c r="AN3" s="1"/>
      <c r="AO3" s="1"/>
      <c r="AP3" s="1"/>
    </row>
    <row r="4" spans="1:42">
      <c r="A4" s="42" t="s">
        <v>111</v>
      </c>
      <c r="B4" s="9"/>
      <c r="C4" s="9"/>
      <c r="D4" s="6">
        <v>32.799999999999997</v>
      </c>
      <c r="E4" s="4">
        <f t="shared" ref="E4:E62" si="0">(D4*$A$2)-((H4*I4)+(J4*K4)+(L4*M4)+(N4*O4)+(P4*Q4)+(R4*S4)+(T4*U4)+(V4*W4)+(X4*Y4)+(Z4*AA4)+(AB4*AC4)+(AD4*AE4))</f>
        <v>96.609999999999985</v>
      </c>
      <c r="F4" s="4">
        <v>51.4</v>
      </c>
      <c r="G4" s="4">
        <f>F4</f>
        <v>51.4</v>
      </c>
      <c r="H4" s="75">
        <v>11.55</v>
      </c>
      <c r="I4" s="76">
        <v>1</v>
      </c>
      <c r="J4" s="77"/>
      <c r="K4" s="78"/>
      <c r="L4" s="77"/>
      <c r="M4" s="78"/>
      <c r="N4" s="77"/>
      <c r="O4" s="78"/>
      <c r="P4" s="75">
        <v>0.8</v>
      </c>
      <c r="Q4" s="76">
        <v>2.1</v>
      </c>
      <c r="R4" s="75">
        <v>0.8</v>
      </c>
      <c r="S4" s="76">
        <v>2.1</v>
      </c>
      <c r="T4" s="77"/>
      <c r="U4" s="78"/>
      <c r="V4" s="77"/>
      <c r="W4" s="78"/>
      <c r="X4" s="77"/>
      <c r="Y4" s="78"/>
      <c r="Z4" s="77"/>
      <c r="AA4" s="78"/>
      <c r="AB4" s="77"/>
      <c r="AC4" s="78"/>
      <c r="AD4" s="77"/>
      <c r="AE4" s="78"/>
      <c r="AI4" s="1"/>
      <c r="AJ4" s="1"/>
      <c r="AK4" s="1"/>
      <c r="AL4" s="1"/>
      <c r="AM4" s="1"/>
      <c r="AN4" s="1"/>
      <c r="AO4" s="1"/>
      <c r="AP4" s="1"/>
    </row>
    <row r="5" spans="1:42" s="5" customFormat="1">
      <c r="A5" s="42" t="s">
        <v>112</v>
      </c>
      <c r="B5" s="6">
        <v>2</v>
      </c>
      <c r="C5" s="6">
        <v>2</v>
      </c>
      <c r="D5" s="6">
        <f t="shared" ref="D5:D59" si="1">2*(B5+C5)</f>
        <v>8</v>
      </c>
      <c r="E5" s="4">
        <f t="shared" si="0"/>
        <v>25.52</v>
      </c>
      <c r="F5" s="4">
        <f t="shared" ref="F5:F26" si="2">B5*C5</f>
        <v>4</v>
      </c>
      <c r="G5" s="4">
        <f t="shared" ref="G5:G62" si="3">F5</f>
        <v>4</v>
      </c>
      <c r="H5" s="77"/>
      <c r="I5" s="78"/>
      <c r="J5" s="77"/>
      <c r="K5" s="78"/>
      <c r="L5" s="77"/>
      <c r="M5" s="78"/>
      <c r="N5" s="77"/>
      <c r="O5" s="78"/>
      <c r="P5" s="75">
        <v>0.8</v>
      </c>
      <c r="Q5" s="76">
        <v>2.1</v>
      </c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D5" s="77"/>
      <c r="AE5" s="78"/>
      <c r="AI5" s="1"/>
      <c r="AJ5" s="1"/>
      <c r="AM5" s="1"/>
      <c r="AN5" s="1"/>
    </row>
    <row r="6" spans="1:42" s="5" customFormat="1">
      <c r="A6" s="42" t="s">
        <v>5</v>
      </c>
      <c r="B6" s="6">
        <v>2</v>
      </c>
      <c r="C6" s="6">
        <v>1.42</v>
      </c>
      <c r="D6" s="6">
        <f t="shared" si="1"/>
        <v>6.84</v>
      </c>
      <c r="E6" s="4">
        <f t="shared" si="0"/>
        <v>21.576000000000001</v>
      </c>
      <c r="F6" s="4">
        <f t="shared" si="2"/>
        <v>2.84</v>
      </c>
      <c r="G6" s="4">
        <f t="shared" si="3"/>
        <v>2.84</v>
      </c>
      <c r="H6" s="77"/>
      <c r="I6" s="78"/>
      <c r="J6" s="77"/>
      <c r="K6" s="78"/>
      <c r="L6" s="77"/>
      <c r="M6" s="78"/>
      <c r="N6" s="77"/>
      <c r="O6" s="78"/>
      <c r="P6" s="75">
        <v>0.8</v>
      </c>
      <c r="Q6" s="76">
        <v>2.1</v>
      </c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D6" s="77"/>
      <c r="AE6" s="78"/>
      <c r="AI6" s="1"/>
      <c r="AJ6" s="1"/>
      <c r="AK6" s="1"/>
      <c r="AL6" s="1"/>
      <c r="AM6" s="1"/>
      <c r="AN6" s="1"/>
      <c r="AO6" s="1"/>
      <c r="AP6" s="1"/>
    </row>
    <row r="7" spans="1:42" s="5" customFormat="1">
      <c r="A7" s="42" t="s">
        <v>113</v>
      </c>
      <c r="B7" s="6">
        <v>2</v>
      </c>
      <c r="C7" s="6">
        <v>1.6</v>
      </c>
      <c r="D7" s="6">
        <f t="shared" si="1"/>
        <v>7.2</v>
      </c>
      <c r="E7" s="4">
        <f t="shared" si="0"/>
        <v>22.8</v>
      </c>
      <c r="F7" s="4">
        <f t="shared" si="2"/>
        <v>3.2</v>
      </c>
      <c r="G7" s="4">
        <f t="shared" si="3"/>
        <v>3.2</v>
      </c>
      <c r="H7" s="77"/>
      <c r="I7" s="78"/>
      <c r="J7" s="77"/>
      <c r="K7" s="78"/>
      <c r="L7" s="77"/>
      <c r="M7" s="78"/>
      <c r="N7" s="77"/>
      <c r="O7" s="78"/>
      <c r="P7" s="75">
        <v>0.8</v>
      </c>
      <c r="Q7" s="76">
        <v>2.1</v>
      </c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D7" s="77"/>
      <c r="AE7" s="78"/>
      <c r="AI7" s="1"/>
      <c r="AJ7" s="1"/>
      <c r="AK7" s="1"/>
      <c r="AL7" s="1"/>
      <c r="AM7" s="1"/>
      <c r="AN7" s="1"/>
      <c r="AO7" s="1"/>
      <c r="AP7" s="1"/>
    </row>
    <row r="8" spans="1:42" s="5" customFormat="1">
      <c r="A8" s="42" t="s">
        <v>114</v>
      </c>
      <c r="B8" s="6">
        <v>2</v>
      </c>
      <c r="C8" s="6">
        <v>2</v>
      </c>
      <c r="D8" s="6">
        <f t="shared" si="1"/>
        <v>8</v>
      </c>
      <c r="E8" s="4">
        <f t="shared" si="0"/>
        <v>25.52</v>
      </c>
      <c r="F8" s="4">
        <f t="shared" si="2"/>
        <v>4</v>
      </c>
      <c r="G8" s="4">
        <f t="shared" si="3"/>
        <v>4</v>
      </c>
      <c r="H8" s="77"/>
      <c r="I8" s="78"/>
      <c r="J8" s="77"/>
      <c r="K8" s="78"/>
      <c r="L8" s="77"/>
      <c r="M8" s="78"/>
      <c r="N8" s="77"/>
      <c r="O8" s="78"/>
      <c r="P8" s="75">
        <v>0.8</v>
      </c>
      <c r="Q8" s="76">
        <v>2.1</v>
      </c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D8" s="77"/>
      <c r="AE8" s="78"/>
      <c r="AI8" s="1"/>
      <c r="AJ8" s="1"/>
      <c r="AK8" s="1"/>
      <c r="AL8" s="1"/>
      <c r="AM8" s="1"/>
      <c r="AN8" s="1"/>
      <c r="AO8" s="1"/>
      <c r="AP8" s="1"/>
    </row>
    <row r="9" spans="1:42" s="5" customFormat="1">
      <c r="A9" s="42" t="s">
        <v>141</v>
      </c>
      <c r="B9" s="6">
        <v>7.05</v>
      </c>
      <c r="C9" s="6">
        <v>5.32</v>
      </c>
      <c r="D9" s="6">
        <f t="shared" si="1"/>
        <v>24.740000000000002</v>
      </c>
      <c r="E9" s="4">
        <f t="shared" si="0"/>
        <v>80.435999999999993</v>
      </c>
      <c r="F9" s="4">
        <f t="shared" si="2"/>
        <v>37.506</v>
      </c>
      <c r="G9" s="4">
        <f t="shared" si="3"/>
        <v>37.506</v>
      </c>
      <c r="H9" s="75">
        <v>2</v>
      </c>
      <c r="I9" s="76">
        <v>1</v>
      </c>
      <c r="J9" s="77"/>
      <c r="K9" s="78"/>
      <c r="L9" s="77"/>
      <c r="M9" s="78"/>
      <c r="N9" s="77"/>
      <c r="O9" s="78"/>
      <c r="P9" s="75">
        <v>0.8</v>
      </c>
      <c r="Q9" s="76">
        <v>2.1</v>
      </c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  <c r="AD9" s="77"/>
      <c r="AE9" s="78"/>
      <c r="AI9" s="1"/>
      <c r="AJ9" s="1"/>
      <c r="AK9" s="1"/>
      <c r="AL9" s="1"/>
      <c r="AM9" s="1"/>
      <c r="AN9" s="1"/>
      <c r="AO9" s="1"/>
      <c r="AP9" s="1"/>
    </row>
    <row r="10" spans="1:42" s="5" customFormat="1">
      <c r="A10" s="42" t="s">
        <v>142</v>
      </c>
      <c r="B10" s="6">
        <v>4.5</v>
      </c>
      <c r="C10" s="6">
        <v>3.3</v>
      </c>
      <c r="D10" s="6">
        <f t="shared" si="1"/>
        <v>15.6</v>
      </c>
      <c r="E10" s="4">
        <f t="shared" si="0"/>
        <v>46.96</v>
      </c>
      <c r="F10" s="4">
        <f t="shared" si="2"/>
        <v>14.85</v>
      </c>
      <c r="G10" s="4">
        <f t="shared" si="3"/>
        <v>14.85</v>
      </c>
      <c r="H10" s="75">
        <v>2</v>
      </c>
      <c r="I10" s="76">
        <v>1</v>
      </c>
      <c r="J10" s="77"/>
      <c r="K10" s="78"/>
      <c r="L10" s="77"/>
      <c r="M10" s="78"/>
      <c r="N10" s="77"/>
      <c r="O10" s="78"/>
      <c r="P10" s="75">
        <v>0.8</v>
      </c>
      <c r="Q10" s="76">
        <v>2.1</v>
      </c>
      <c r="R10" s="75">
        <v>0.8</v>
      </c>
      <c r="S10" s="76">
        <v>2.1</v>
      </c>
      <c r="T10" s="77"/>
      <c r="U10" s="78"/>
      <c r="V10" s="77"/>
      <c r="W10" s="78"/>
      <c r="X10" s="77"/>
      <c r="Y10" s="78"/>
      <c r="Z10" s="77"/>
      <c r="AA10" s="78"/>
      <c r="AB10" s="75">
        <v>1.2</v>
      </c>
      <c r="AC10" s="76">
        <v>0.6</v>
      </c>
      <c r="AD10" s="77"/>
      <c r="AE10" s="78"/>
      <c r="AI10" s="1"/>
      <c r="AJ10" s="1"/>
      <c r="AK10" s="1"/>
      <c r="AL10" s="1"/>
      <c r="AM10" s="1"/>
      <c r="AN10" s="1"/>
      <c r="AO10" s="1"/>
      <c r="AP10" s="1"/>
    </row>
    <row r="11" spans="1:42" s="5" customFormat="1">
      <c r="A11" s="42" t="s">
        <v>115</v>
      </c>
      <c r="B11" s="6">
        <v>4.55</v>
      </c>
      <c r="C11" s="6">
        <v>3.3</v>
      </c>
      <c r="D11" s="6">
        <f t="shared" si="1"/>
        <v>15.7</v>
      </c>
      <c r="E11" s="4">
        <f t="shared" si="0"/>
        <v>51.699999999999996</v>
      </c>
      <c r="F11" s="4">
        <f t="shared" si="2"/>
        <v>15.014999999999999</v>
      </c>
      <c r="G11" s="4">
        <f t="shared" si="3"/>
        <v>15.014999999999999</v>
      </c>
      <c r="H11" s="77"/>
      <c r="I11" s="78"/>
      <c r="J11" s="77"/>
      <c r="K11" s="78"/>
      <c r="L11" s="77"/>
      <c r="M11" s="78"/>
      <c r="N11" s="77"/>
      <c r="O11" s="78"/>
      <c r="P11" s="75">
        <v>0.8</v>
      </c>
      <c r="Q11" s="76">
        <v>2.1</v>
      </c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D11" s="77"/>
      <c r="AE11" s="78"/>
      <c r="AI11" s="1"/>
      <c r="AJ11" s="1"/>
      <c r="AK11" s="1"/>
      <c r="AL11" s="1"/>
      <c r="AM11" s="1"/>
      <c r="AN11" s="1"/>
      <c r="AO11" s="1"/>
      <c r="AP11" s="1"/>
    </row>
    <row r="12" spans="1:42" s="5" customFormat="1">
      <c r="A12" s="42" t="s">
        <v>116</v>
      </c>
      <c r="B12" s="6">
        <v>3.9</v>
      </c>
      <c r="C12" s="6">
        <v>2.95</v>
      </c>
      <c r="D12" s="6">
        <f t="shared" si="1"/>
        <v>13.7</v>
      </c>
      <c r="E12" s="4">
        <f t="shared" si="0"/>
        <v>44.269999999999996</v>
      </c>
      <c r="F12" s="4">
        <f t="shared" si="2"/>
        <v>11.505000000000001</v>
      </c>
      <c r="G12" s="4">
        <f t="shared" si="3"/>
        <v>11.505000000000001</v>
      </c>
      <c r="H12" s="77"/>
      <c r="I12" s="78"/>
      <c r="J12" s="77"/>
      <c r="K12" s="78"/>
      <c r="L12" s="77"/>
      <c r="M12" s="78"/>
      <c r="N12" s="77"/>
      <c r="O12" s="78"/>
      <c r="P12" s="75">
        <v>1.1000000000000001</v>
      </c>
      <c r="Q12" s="76">
        <v>2.1</v>
      </c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D12" s="77"/>
      <c r="AE12" s="78"/>
      <c r="AI12" s="1"/>
      <c r="AJ12" s="1"/>
      <c r="AK12" s="1"/>
      <c r="AL12" s="1"/>
      <c r="AM12" s="1"/>
      <c r="AN12" s="1"/>
      <c r="AO12" s="1"/>
      <c r="AP12" s="1"/>
    </row>
    <row r="13" spans="1:42" s="5" customFormat="1">
      <c r="A13" s="42" t="s">
        <v>117</v>
      </c>
      <c r="B13" s="6">
        <v>4</v>
      </c>
      <c r="C13" s="6">
        <v>3.55</v>
      </c>
      <c r="D13" s="6">
        <f t="shared" si="1"/>
        <v>15.1</v>
      </c>
      <c r="E13" s="4">
        <f t="shared" si="0"/>
        <v>47.139999999999993</v>
      </c>
      <c r="F13" s="4">
        <f t="shared" si="2"/>
        <v>14.2</v>
      </c>
      <c r="G13" s="4">
        <f t="shared" si="3"/>
        <v>14.2</v>
      </c>
      <c r="H13" s="77"/>
      <c r="I13" s="78"/>
      <c r="J13" s="77"/>
      <c r="K13" s="78"/>
      <c r="L13" s="77"/>
      <c r="M13" s="78"/>
      <c r="N13" s="77"/>
      <c r="O13" s="78"/>
      <c r="P13" s="75">
        <v>1.2</v>
      </c>
      <c r="Q13" s="76">
        <v>2.1</v>
      </c>
      <c r="R13" s="75">
        <v>0.8</v>
      </c>
      <c r="S13" s="76">
        <v>2.1</v>
      </c>
      <c r="T13" s="77"/>
      <c r="U13" s="78"/>
      <c r="V13" s="77"/>
      <c r="W13" s="78"/>
      <c r="X13" s="77"/>
      <c r="Y13" s="78"/>
      <c r="Z13" s="77"/>
      <c r="AA13" s="78"/>
      <c r="AB13" s="77"/>
      <c r="AC13" s="78"/>
      <c r="AD13" s="77"/>
      <c r="AE13" s="78"/>
      <c r="AI13" s="1"/>
      <c r="AJ13" s="1"/>
      <c r="AK13" s="1"/>
      <c r="AL13" s="1"/>
      <c r="AM13" s="1"/>
      <c r="AN13" s="1"/>
      <c r="AO13" s="1"/>
      <c r="AP13" s="1"/>
    </row>
    <row r="14" spans="1:42" s="5" customFormat="1">
      <c r="A14" s="42" t="s">
        <v>120</v>
      </c>
      <c r="B14" s="6">
        <v>1.8</v>
      </c>
      <c r="C14" s="6">
        <v>2.95</v>
      </c>
      <c r="D14" s="6">
        <f t="shared" si="1"/>
        <v>9.5</v>
      </c>
      <c r="E14" s="4">
        <f t="shared" si="0"/>
        <v>30.619999999999997</v>
      </c>
      <c r="F14" s="4">
        <f t="shared" si="2"/>
        <v>5.3100000000000005</v>
      </c>
      <c r="G14" s="4">
        <f t="shared" si="3"/>
        <v>5.3100000000000005</v>
      </c>
      <c r="H14" s="77"/>
      <c r="I14" s="78"/>
      <c r="J14" s="77"/>
      <c r="K14" s="78"/>
      <c r="L14" s="77"/>
      <c r="M14" s="78"/>
      <c r="N14" s="77"/>
      <c r="O14" s="78"/>
      <c r="P14" s="75">
        <v>0.8</v>
      </c>
      <c r="Q14" s="76">
        <v>2.1</v>
      </c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D14" s="77"/>
      <c r="AE14" s="78"/>
      <c r="AI14" s="1"/>
      <c r="AJ14" s="1"/>
      <c r="AK14" s="1"/>
      <c r="AL14" s="1"/>
      <c r="AM14" s="1"/>
      <c r="AN14" s="1"/>
      <c r="AO14" s="1"/>
      <c r="AP14" s="1"/>
    </row>
    <row r="15" spans="1:42" s="5" customFormat="1">
      <c r="A15" s="42" t="s">
        <v>121</v>
      </c>
      <c r="B15" s="6">
        <v>2.0499999999999998</v>
      </c>
      <c r="C15" s="6">
        <v>2.95</v>
      </c>
      <c r="D15" s="6">
        <f t="shared" si="1"/>
        <v>10</v>
      </c>
      <c r="E15" s="4">
        <f t="shared" si="0"/>
        <v>32.32</v>
      </c>
      <c r="F15" s="4">
        <f t="shared" si="2"/>
        <v>6.0474999999999994</v>
      </c>
      <c r="G15" s="4">
        <f t="shared" si="3"/>
        <v>6.0474999999999994</v>
      </c>
      <c r="H15" s="77"/>
      <c r="I15" s="78"/>
      <c r="J15" s="77"/>
      <c r="K15" s="78"/>
      <c r="L15" s="77"/>
      <c r="M15" s="78"/>
      <c r="N15" s="77"/>
      <c r="O15" s="78"/>
      <c r="P15" s="75">
        <v>0.8</v>
      </c>
      <c r="Q15" s="76">
        <v>2.1</v>
      </c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D15" s="77"/>
      <c r="AE15" s="78"/>
      <c r="AI15" s="1"/>
      <c r="AJ15" s="1"/>
      <c r="AK15" s="1"/>
      <c r="AL15" s="1"/>
      <c r="AM15" s="1"/>
      <c r="AN15" s="1"/>
      <c r="AO15" s="1"/>
      <c r="AP15" s="1"/>
    </row>
    <row r="16" spans="1:42" s="5" customFormat="1">
      <c r="A16" s="42" t="s">
        <v>118</v>
      </c>
      <c r="B16" s="6">
        <v>3.35</v>
      </c>
      <c r="C16" s="6">
        <v>2.2349999999999999</v>
      </c>
      <c r="D16" s="6">
        <f t="shared" si="1"/>
        <v>11.17</v>
      </c>
      <c r="E16" s="4">
        <f t="shared" si="0"/>
        <v>36.088000000000001</v>
      </c>
      <c r="F16" s="4">
        <f t="shared" si="2"/>
        <v>7.4872499999999995</v>
      </c>
      <c r="G16" s="4">
        <f t="shared" si="3"/>
        <v>7.4872499999999995</v>
      </c>
      <c r="H16" s="77"/>
      <c r="I16" s="78"/>
      <c r="J16" s="77"/>
      <c r="K16" s="78"/>
      <c r="L16" s="77"/>
      <c r="M16" s="78"/>
      <c r="N16" s="77"/>
      <c r="O16" s="78"/>
      <c r="P16" s="75">
        <v>0.9</v>
      </c>
      <c r="Q16" s="76">
        <v>2.1</v>
      </c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D16" s="77"/>
      <c r="AE16" s="78"/>
      <c r="AI16" s="1"/>
      <c r="AJ16" s="1"/>
      <c r="AK16" s="1"/>
      <c r="AL16" s="1"/>
      <c r="AM16" s="1"/>
      <c r="AN16" s="1"/>
      <c r="AO16" s="1"/>
      <c r="AP16" s="1"/>
    </row>
    <row r="17" spans="1:42" s="5" customFormat="1">
      <c r="A17" s="42" t="s">
        <v>119</v>
      </c>
      <c r="B17" s="6">
        <v>3.35</v>
      </c>
      <c r="C17" s="6">
        <v>2.2349999999999999</v>
      </c>
      <c r="D17" s="6">
        <f t="shared" si="1"/>
        <v>11.17</v>
      </c>
      <c r="E17" s="4">
        <f t="shared" si="0"/>
        <v>36.088000000000001</v>
      </c>
      <c r="F17" s="4">
        <f t="shared" si="2"/>
        <v>7.4872499999999995</v>
      </c>
      <c r="G17" s="4">
        <f t="shared" si="3"/>
        <v>7.4872499999999995</v>
      </c>
      <c r="H17" s="77"/>
      <c r="I17" s="78"/>
      <c r="J17" s="77"/>
      <c r="K17" s="78"/>
      <c r="L17" s="77"/>
      <c r="M17" s="78"/>
      <c r="N17" s="77"/>
      <c r="O17" s="78"/>
      <c r="P17" s="75">
        <v>0.9</v>
      </c>
      <c r="Q17" s="76">
        <v>2.1</v>
      </c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D17" s="77"/>
      <c r="AE17" s="78"/>
      <c r="AI17" s="1"/>
      <c r="AJ17" s="1"/>
      <c r="AK17" s="1"/>
      <c r="AL17" s="1"/>
      <c r="AM17" s="1"/>
      <c r="AN17" s="1"/>
      <c r="AO17" s="1"/>
      <c r="AP17" s="1"/>
    </row>
    <row r="18" spans="1:42" s="5" customFormat="1">
      <c r="A18" s="42" t="s">
        <v>122</v>
      </c>
      <c r="B18" s="6">
        <v>0.4</v>
      </c>
      <c r="C18" s="6">
        <v>3.55</v>
      </c>
      <c r="D18" s="6">
        <f t="shared" si="1"/>
        <v>7.8999999999999995</v>
      </c>
      <c r="E18" s="4">
        <f t="shared" si="0"/>
        <v>26.859999999999996</v>
      </c>
      <c r="F18" s="9"/>
      <c r="G18" s="9"/>
      <c r="H18" s="77"/>
      <c r="I18" s="78"/>
      <c r="J18" s="77"/>
      <c r="K18" s="78"/>
      <c r="L18" s="77"/>
      <c r="M18" s="78"/>
      <c r="N18" s="77"/>
      <c r="O18" s="78"/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B18" s="77"/>
      <c r="AC18" s="78"/>
      <c r="AD18" s="77"/>
      <c r="AE18" s="78"/>
      <c r="AI18" s="1"/>
      <c r="AJ18" s="1"/>
      <c r="AK18" s="1"/>
      <c r="AL18" s="1"/>
      <c r="AM18" s="1"/>
      <c r="AN18" s="1"/>
      <c r="AO18" s="1"/>
      <c r="AP18" s="1"/>
    </row>
    <row r="19" spans="1:42" s="5" customFormat="1">
      <c r="A19" s="42" t="s">
        <v>123</v>
      </c>
      <c r="B19" s="6">
        <v>3.35</v>
      </c>
      <c r="C19" s="6">
        <v>2.95</v>
      </c>
      <c r="D19" s="6">
        <f t="shared" si="1"/>
        <v>12.600000000000001</v>
      </c>
      <c r="E19" s="4">
        <f t="shared" si="0"/>
        <v>37.81</v>
      </c>
      <c r="F19" s="4">
        <f t="shared" si="2"/>
        <v>9.8825000000000003</v>
      </c>
      <c r="G19" s="4">
        <f t="shared" si="3"/>
        <v>9.8825000000000003</v>
      </c>
      <c r="H19" s="75">
        <v>3.35</v>
      </c>
      <c r="I19" s="76">
        <v>1</v>
      </c>
      <c r="J19" s="77"/>
      <c r="K19" s="78"/>
      <c r="L19" s="77"/>
      <c r="M19" s="78"/>
      <c r="N19" s="77"/>
      <c r="O19" s="78"/>
      <c r="P19" s="75">
        <v>0.8</v>
      </c>
      <c r="Q19" s="76">
        <v>2.1</v>
      </c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D19" s="77"/>
      <c r="AE19" s="78"/>
      <c r="AI19" s="1"/>
      <c r="AJ19" s="1"/>
      <c r="AK19" s="1"/>
      <c r="AL19" s="1"/>
      <c r="AM19" s="1"/>
      <c r="AN19" s="1"/>
      <c r="AO19" s="1"/>
      <c r="AP19" s="1"/>
    </row>
    <row r="20" spans="1:42" s="5" customFormat="1">
      <c r="A20" s="42" t="s">
        <v>108</v>
      </c>
      <c r="B20" s="6">
        <v>1.65</v>
      </c>
      <c r="C20" s="6">
        <v>1.89</v>
      </c>
      <c r="D20" s="6">
        <f t="shared" si="1"/>
        <v>7.08</v>
      </c>
      <c r="E20" s="4">
        <f t="shared" si="0"/>
        <v>20.963999999999999</v>
      </c>
      <c r="F20" s="9"/>
      <c r="G20" s="9"/>
      <c r="H20" s="77"/>
      <c r="I20" s="78"/>
      <c r="J20" s="77"/>
      <c r="K20" s="78"/>
      <c r="L20" s="77"/>
      <c r="M20" s="78"/>
      <c r="N20" s="77"/>
      <c r="O20" s="78"/>
      <c r="P20" s="75">
        <v>1.48</v>
      </c>
      <c r="Q20" s="76">
        <v>2.1</v>
      </c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D20" s="77"/>
      <c r="AE20" s="78"/>
      <c r="AI20" s="1"/>
      <c r="AJ20" s="1"/>
      <c r="AK20" s="1"/>
      <c r="AL20" s="1"/>
      <c r="AM20" s="1"/>
      <c r="AN20" s="1"/>
      <c r="AO20" s="1"/>
      <c r="AP20" s="1"/>
    </row>
    <row r="21" spans="1:42" s="5" customFormat="1">
      <c r="A21" s="42" t="s">
        <v>109</v>
      </c>
      <c r="B21" s="6">
        <v>1.65</v>
      </c>
      <c r="C21" s="6">
        <v>1.93</v>
      </c>
      <c r="D21" s="6">
        <f t="shared" si="1"/>
        <v>7.16</v>
      </c>
      <c r="E21" s="4">
        <f t="shared" si="0"/>
        <v>21.236000000000001</v>
      </c>
      <c r="F21" s="9"/>
      <c r="G21" s="9"/>
      <c r="H21" s="77"/>
      <c r="I21" s="78"/>
      <c r="J21" s="77"/>
      <c r="K21" s="78"/>
      <c r="L21" s="77"/>
      <c r="M21" s="78"/>
      <c r="N21" s="77"/>
      <c r="O21" s="78"/>
      <c r="P21" s="75">
        <v>1.48</v>
      </c>
      <c r="Q21" s="76">
        <v>2.1</v>
      </c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  <c r="AD21" s="77"/>
      <c r="AE21" s="78"/>
      <c r="AI21" s="1"/>
      <c r="AJ21" s="1"/>
      <c r="AK21" s="1"/>
      <c r="AL21" s="1"/>
      <c r="AM21" s="1"/>
      <c r="AN21" s="1"/>
      <c r="AO21" s="1"/>
      <c r="AP21" s="1"/>
    </row>
    <row r="22" spans="1:42" s="5" customFormat="1">
      <c r="A22" s="42" t="s">
        <v>124</v>
      </c>
      <c r="B22" s="6">
        <v>5.0999999999999996</v>
      </c>
      <c r="C22" s="6">
        <v>4.0199999999999996</v>
      </c>
      <c r="D22" s="6">
        <f t="shared" si="1"/>
        <v>18.239999999999998</v>
      </c>
      <c r="E22" s="4">
        <f t="shared" si="0"/>
        <v>44.609999999999985</v>
      </c>
      <c r="F22" s="4">
        <f t="shared" si="2"/>
        <v>20.501999999999995</v>
      </c>
      <c r="G22" s="4">
        <f t="shared" si="3"/>
        <v>20.501999999999995</v>
      </c>
      <c r="H22" s="75">
        <v>5.0999999999999996</v>
      </c>
      <c r="I22" s="76">
        <v>1</v>
      </c>
      <c r="J22" s="77"/>
      <c r="K22" s="78"/>
      <c r="L22" s="77"/>
      <c r="M22" s="78"/>
      <c r="N22" s="77"/>
      <c r="O22" s="78"/>
      <c r="P22" s="75">
        <v>1.48</v>
      </c>
      <c r="Q22" s="76">
        <v>2.1</v>
      </c>
      <c r="R22" s="75">
        <v>1.48</v>
      </c>
      <c r="S22" s="76">
        <v>2.1</v>
      </c>
      <c r="T22" s="75">
        <v>2.1</v>
      </c>
      <c r="U22" s="76">
        <v>2.1</v>
      </c>
      <c r="V22" s="75">
        <v>0.8</v>
      </c>
      <c r="W22" s="76">
        <v>2.1</v>
      </c>
      <c r="X22" s="77"/>
      <c r="Y22" s="78"/>
      <c r="Z22" s="77"/>
      <c r="AA22" s="78"/>
      <c r="AB22" s="77"/>
      <c r="AC22" s="78"/>
      <c r="AD22" s="77"/>
      <c r="AE22" s="78"/>
      <c r="AI22" s="1"/>
      <c r="AJ22" s="1"/>
      <c r="AK22" s="1"/>
      <c r="AL22" s="1"/>
      <c r="AM22" s="1"/>
      <c r="AN22" s="1"/>
      <c r="AO22" s="1"/>
      <c r="AP22" s="1"/>
    </row>
    <row r="23" spans="1:42" s="5" customFormat="1">
      <c r="A23" s="42" t="s">
        <v>125</v>
      </c>
      <c r="B23" s="6">
        <v>2.5</v>
      </c>
      <c r="C23" s="6">
        <v>4.42</v>
      </c>
      <c r="D23" s="6">
        <f t="shared" si="1"/>
        <v>13.84</v>
      </c>
      <c r="E23" s="4">
        <f t="shared" si="0"/>
        <v>45.375999999999998</v>
      </c>
      <c r="F23" s="4">
        <f t="shared" si="2"/>
        <v>11.05</v>
      </c>
      <c r="G23" s="4">
        <f t="shared" si="3"/>
        <v>11.05</v>
      </c>
      <c r="H23" s="77"/>
      <c r="I23" s="78"/>
      <c r="J23" s="77"/>
      <c r="K23" s="78"/>
      <c r="L23" s="77"/>
      <c r="M23" s="78"/>
      <c r="N23" s="77"/>
      <c r="O23" s="78"/>
      <c r="P23" s="75">
        <v>0.8</v>
      </c>
      <c r="Q23" s="76">
        <v>2.1</v>
      </c>
      <c r="R23" s="77"/>
      <c r="S23" s="78"/>
      <c r="T23" s="77"/>
      <c r="U23" s="78"/>
      <c r="V23" s="77"/>
      <c r="W23" s="78"/>
      <c r="X23" s="77"/>
      <c r="Y23" s="78"/>
      <c r="Z23" s="77"/>
      <c r="AA23" s="78"/>
      <c r="AB23" s="77"/>
      <c r="AC23" s="78"/>
      <c r="AD23" s="77"/>
      <c r="AE23" s="78"/>
      <c r="AI23" s="1"/>
      <c r="AJ23" s="1"/>
      <c r="AK23" s="1"/>
      <c r="AL23" s="1"/>
      <c r="AM23" s="1"/>
      <c r="AN23" s="1"/>
      <c r="AO23" s="1"/>
      <c r="AP23" s="1"/>
    </row>
    <row r="24" spans="1:42" s="5" customFormat="1">
      <c r="A24" s="42" t="s">
        <v>126</v>
      </c>
      <c r="B24" s="6">
        <v>2.5</v>
      </c>
      <c r="C24" s="6">
        <v>1.6</v>
      </c>
      <c r="D24" s="6">
        <f t="shared" si="1"/>
        <v>8.1999999999999993</v>
      </c>
      <c r="E24" s="4">
        <f t="shared" si="0"/>
        <v>26.199999999999996</v>
      </c>
      <c r="F24" s="4">
        <f t="shared" si="2"/>
        <v>4</v>
      </c>
      <c r="G24" s="4">
        <f t="shared" si="3"/>
        <v>4</v>
      </c>
      <c r="H24" s="77"/>
      <c r="I24" s="78"/>
      <c r="J24" s="77"/>
      <c r="K24" s="78"/>
      <c r="L24" s="77"/>
      <c r="M24" s="78"/>
      <c r="N24" s="77"/>
      <c r="O24" s="78"/>
      <c r="P24" s="75">
        <v>0.8</v>
      </c>
      <c r="Q24" s="76">
        <v>2.1</v>
      </c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  <c r="AD24" s="77"/>
      <c r="AE24" s="78"/>
      <c r="AI24" s="1"/>
      <c r="AJ24" s="1"/>
      <c r="AK24" s="1"/>
      <c r="AL24" s="1"/>
      <c r="AM24" s="1"/>
      <c r="AN24" s="1"/>
      <c r="AO24" s="1"/>
      <c r="AP24" s="1"/>
    </row>
    <row r="25" spans="1:42" s="5" customFormat="1">
      <c r="A25" s="42" t="s">
        <v>127</v>
      </c>
      <c r="B25" s="6">
        <v>2.5499999999999998</v>
      </c>
      <c r="C25" s="6">
        <v>4.42</v>
      </c>
      <c r="D25" s="6">
        <f t="shared" si="1"/>
        <v>13.94</v>
      </c>
      <c r="E25" s="4">
        <f t="shared" si="0"/>
        <v>45.715999999999994</v>
      </c>
      <c r="F25" s="4">
        <f t="shared" si="2"/>
        <v>11.270999999999999</v>
      </c>
      <c r="G25" s="4">
        <f t="shared" si="3"/>
        <v>11.270999999999999</v>
      </c>
      <c r="H25" s="77"/>
      <c r="I25" s="78"/>
      <c r="J25" s="77"/>
      <c r="K25" s="78"/>
      <c r="L25" s="77"/>
      <c r="M25" s="78"/>
      <c r="N25" s="77"/>
      <c r="O25" s="78"/>
      <c r="P25" s="75">
        <v>0.8</v>
      </c>
      <c r="Q25" s="76">
        <v>2.1</v>
      </c>
      <c r="R25" s="77"/>
      <c r="S25" s="78"/>
      <c r="T25" s="77"/>
      <c r="U25" s="78"/>
      <c r="V25" s="77"/>
      <c r="W25" s="78"/>
      <c r="X25" s="77"/>
      <c r="Y25" s="78"/>
      <c r="Z25" s="77"/>
      <c r="AA25" s="78"/>
      <c r="AB25" s="77"/>
      <c r="AC25" s="78"/>
      <c r="AD25" s="77"/>
      <c r="AE25" s="78"/>
      <c r="AI25" s="1"/>
      <c r="AJ25" s="1"/>
      <c r="AK25" s="1"/>
      <c r="AL25" s="1"/>
      <c r="AM25" s="1"/>
      <c r="AN25" s="1"/>
      <c r="AO25" s="1"/>
      <c r="AP25" s="1"/>
    </row>
    <row r="26" spans="1:42" s="5" customFormat="1">
      <c r="A26" s="42" t="s">
        <v>128</v>
      </c>
      <c r="B26" s="6">
        <v>2.5499999999999998</v>
      </c>
      <c r="C26" s="6">
        <v>1.6</v>
      </c>
      <c r="D26" s="6">
        <f t="shared" si="1"/>
        <v>8.3000000000000007</v>
      </c>
      <c r="E26" s="4">
        <f t="shared" si="0"/>
        <v>26.330000000000002</v>
      </c>
      <c r="F26" s="4">
        <f t="shared" si="2"/>
        <v>4.08</v>
      </c>
      <c r="G26" s="4">
        <f t="shared" si="3"/>
        <v>4.08</v>
      </c>
      <c r="H26" s="77"/>
      <c r="I26" s="78"/>
      <c r="J26" s="77"/>
      <c r="K26" s="78"/>
      <c r="L26" s="77"/>
      <c r="M26" s="78"/>
      <c r="N26" s="77"/>
      <c r="O26" s="78"/>
      <c r="P26" s="75">
        <v>0.9</v>
      </c>
      <c r="Q26" s="76">
        <v>2.1</v>
      </c>
      <c r="R26" s="77"/>
      <c r="S26" s="78"/>
      <c r="T26" s="77"/>
      <c r="U26" s="78"/>
      <c r="V26" s="77"/>
      <c r="W26" s="78"/>
      <c r="X26" s="77"/>
      <c r="Y26" s="78"/>
      <c r="Z26" s="77"/>
      <c r="AA26" s="78"/>
      <c r="AB26" s="77"/>
      <c r="AC26" s="78"/>
      <c r="AD26" s="77"/>
      <c r="AE26" s="78"/>
      <c r="AI26" s="1"/>
      <c r="AJ26" s="1"/>
      <c r="AK26" s="1"/>
      <c r="AL26" s="1"/>
      <c r="AM26" s="1"/>
      <c r="AN26" s="1"/>
      <c r="AO26" s="1"/>
      <c r="AP26" s="1"/>
    </row>
    <row r="27" spans="1:42" s="5" customFormat="1">
      <c r="A27" s="42" t="s">
        <v>129</v>
      </c>
      <c r="B27" s="9"/>
      <c r="C27" s="9"/>
      <c r="D27" s="6">
        <v>21.4</v>
      </c>
      <c r="E27" s="4">
        <f t="shared" si="0"/>
        <v>65.079999999999984</v>
      </c>
      <c r="F27" s="4">
        <v>22.9</v>
      </c>
      <c r="G27" s="4">
        <f t="shared" si="3"/>
        <v>22.9</v>
      </c>
      <c r="H27" s="75">
        <v>4.1500000000000004</v>
      </c>
      <c r="I27" s="76">
        <v>1</v>
      </c>
      <c r="J27" s="75">
        <v>1.85</v>
      </c>
      <c r="K27" s="76">
        <v>1</v>
      </c>
      <c r="L27" s="77"/>
      <c r="M27" s="78"/>
      <c r="N27" s="77"/>
      <c r="O27" s="78"/>
      <c r="P27" s="75">
        <v>0.8</v>
      </c>
      <c r="Q27" s="76">
        <v>2.1</v>
      </c>
      <c r="R27" s="77"/>
      <c r="S27" s="78"/>
      <c r="T27" s="77"/>
      <c r="U27" s="78"/>
      <c r="V27" s="77"/>
      <c r="W27" s="78"/>
      <c r="X27" s="77"/>
      <c r="Y27" s="78"/>
      <c r="Z27" s="77"/>
      <c r="AA27" s="78"/>
      <c r="AB27" s="77"/>
      <c r="AC27" s="78"/>
      <c r="AD27" s="77"/>
      <c r="AE27" s="78"/>
      <c r="AI27" s="1"/>
      <c r="AJ27" s="1"/>
      <c r="AK27" s="1"/>
      <c r="AL27" s="1"/>
      <c r="AM27" s="1"/>
      <c r="AN27" s="1"/>
      <c r="AO27" s="1"/>
      <c r="AP27" s="1"/>
    </row>
    <row r="28" spans="1:42" s="5" customFormat="1">
      <c r="A28" s="42" t="s">
        <v>130</v>
      </c>
      <c r="B28" s="6">
        <v>2.5499999999999998</v>
      </c>
      <c r="C28" s="6">
        <v>4.9000000000000004</v>
      </c>
      <c r="D28" s="6">
        <f t="shared" ref="D28:D29" si="4">2*(B28+C28)</f>
        <v>14.9</v>
      </c>
      <c r="E28" s="4">
        <f t="shared" si="0"/>
        <v>45.589999999999996</v>
      </c>
      <c r="F28" s="4">
        <f t="shared" ref="F28:F29" si="5">B28*C28</f>
        <v>12.494999999999999</v>
      </c>
      <c r="G28" s="4">
        <f t="shared" si="3"/>
        <v>12.494999999999999</v>
      </c>
      <c r="H28" s="75">
        <v>1.5</v>
      </c>
      <c r="I28" s="76">
        <v>1</v>
      </c>
      <c r="J28" s="77"/>
      <c r="K28" s="78"/>
      <c r="L28" s="77"/>
      <c r="M28" s="78"/>
      <c r="N28" s="77"/>
      <c r="O28" s="78"/>
      <c r="P28" s="75">
        <v>0.8</v>
      </c>
      <c r="Q28" s="76">
        <v>2.1</v>
      </c>
      <c r="R28" s="75">
        <v>0.9</v>
      </c>
      <c r="S28" s="76">
        <v>2.1</v>
      </c>
      <c r="T28" s="77"/>
      <c r="U28" s="78"/>
      <c r="V28" s="77"/>
      <c r="W28" s="78"/>
      <c r="X28" s="77"/>
      <c r="Y28" s="78"/>
      <c r="Z28" s="77"/>
      <c r="AA28" s="78"/>
      <c r="AB28" s="77"/>
      <c r="AC28" s="78"/>
      <c r="AD28" s="77"/>
      <c r="AE28" s="78"/>
      <c r="AI28" s="1"/>
      <c r="AJ28" s="1"/>
      <c r="AK28" s="1"/>
      <c r="AL28" s="1"/>
      <c r="AM28" s="1"/>
      <c r="AN28" s="1"/>
      <c r="AO28" s="1"/>
      <c r="AP28" s="1"/>
    </row>
    <row r="29" spans="1:42" s="5" customFormat="1">
      <c r="A29" s="42" t="s">
        <v>144</v>
      </c>
      <c r="B29" s="6">
        <v>2.5499999999999998</v>
      </c>
      <c r="C29" s="6">
        <v>4.9000000000000004</v>
      </c>
      <c r="D29" s="6">
        <f t="shared" si="4"/>
        <v>14.9</v>
      </c>
      <c r="E29" s="4">
        <f t="shared" si="0"/>
        <v>46.429999999999993</v>
      </c>
      <c r="F29" s="4">
        <f t="shared" si="5"/>
        <v>12.494999999999999</v>
      </c>
      <c r="G29" s="4">
        <f t="shared" si="3"/>
        <v>12.494999999999999</v>
      </c>
      <c r="H29" s="75">
        <v>2.5499999999999998</v>
      </c>
      <c r="I29" s="76">
        <v>1</v>
      </c>
      <c r="J29" s="77"/>
      <c r="K29" s="78"/>
      <c r="L29" s="77"/>
      <c r="M29" s="78"/>
      <c r="N29" s="77"/>
      <c r="O29" s="78"/>
      <c r="P29" s="75">
        <v>0.8</v>
      </c>
      <c r="Q29" s="76">
        <v>2.1</v>
      </c>
      <c r="R29" s="77"/>
      <c r="S29" s="78"/>
      <c r="T29" s="77"/>
      <c r="U29" s="78"/>
      <c r="V29" s="77"/>
      <c r="W29" s="78"/>
      <c r="X29" s="77"/>
      <c r="Y29" s="78"/>
      <c r="Z29" s="77"/>
      <c r="AA29" s="78"/>
      <c r="AB29" s="77"/>
      <c r="AC29" s="78"/>
      <c r="AD29" s="77"/>
      <c r="AE29" s="78"/>
      <c r="AI29" s="1"/>
      <c r="AJ29" s="1"/>
      <c r="AK29" s="1"/>
      <c r="AL29" s="1"/>
      <c r="AM29" s="1"/>
      <c r="AN29" s="1"/>
      <c r="AO29" s="1"/>
      <c r="AP29" s="1"/>
    </row>
    <row r="30" spans="1:42" s="5" customFormat="1">
      <c r="A30" s="42" t="s">
        <v>131</v>
      </c>
      <c r="B30" s="9"/>
      <c r="C30" s="9"/>
      <c r="D30" s="6">
        <v>14.9</v>
      </c>
      <c r="E30" s="4">
        <f t="shared" si="0"/>
        <v>46.429999999999993</v>
      </c>
      <c r="F30" s="4">
        <v>10.93</v>
      </c>
      <c r="G30" s="4">
        <f t="shared" si="3"/>
        <v>10.93</v>
      </c>
      <c r="H30" s="75">
        <v>2.5499999999999998</v>
      </c>
      <c r="I30" s="76">
        <v>1</v>
      </c>
      <c r="J30" s="77"/>
      <c r="K30" s="78"/>
      <c r="L30" s="77"/>
      <c r="M30" s="78"/>
      <c r="N30" s="77"/>
      <c r="O30" s="78"/>
      <c r="P30" s="75">
        <v>0.8</v>
      </c>
      <c r="Q30" s="76">
        <v>2.1</v>
      </c>
      <c r="R30" s="77"/>
      <c r="S30" s="78"/>
      <c r="T30" s="77"/>
      <c r="U30" s="78"/>
      <c r="V30" s="77"/>
      <c r="W30" s="78"/>
      <c r="X30" s="77"/>
      <c r="Y30" s="78"/>
      <c r="Z30" s="77"/>
      <c r="AA30" s="78"/>
      <c r="AB30" s="77"/>
      <c r="AC30" s="78"/>
      <c r="AD30" s="77"/>
      <c r="AE30" s="78"/>
      <c r="AI30" s="1"/>
      <c r="AJ30" s="1"/>
      <c r="AK30" s="1"/>
      <c r="AL30" s="1"/>
      <c r="AM30" s="1"/>
      <c r="AN30" s="1"/>
      <c r="AO30" s="1"/>
      <c r="AP30" s="1"/>
    </row>
    <row r="31" spans="1:42" s="5" customFormat="1">
      <c r="A31" s="42" t="s">
        <v>132</v>
      </c>
      <c r="B31" s="6">
        <v>2.2999999999999998</v>
      </c>
      <c r="C31" s="6">
        <v>2.2000000000000002</v>
      </c>
      <c r="D31" s="6">
        <f t="shared" ref="D31:D36" si="6">2*(B31+C31)</f>
        <v>9</v>
      </c>
      <c r="E31" s="4">
        <f t="shared" si="0"/>
        <v>28.919999999999998</v>
      </c>
      <c r="F31" s="4">
        <f t="shared" ref="F31:F36" si="7">B31*C31</f>
        <v>5.0599999999999996</v>
      </c>
      <c r="G31" s="4">
        <f t="shared" si="3"/>
        <v>5.0599999999999996</v>
      </c>
      <c r="H31" s="77"/>
      <c r="I31" s="78"/>
      <c r="J31" s="77"/>
      <c r="K31" s="78"/>
      <c r="L31" s="77"/>
      <c r="M31" s="78"/>
      <c r="N31" s="77"/>
      <c r="O31" s="78"/>
      <c r="P31" s="75">
        <v>0.8</v>
      </c>
      <c r="Q31" s="76">
        <v>2.1</v>
      </c>
      <c r="R31" s="77"/>
      <c r="S31" s="78"/>
      <c r="T31" s="77"/>
      <c r="U31" s="78"/>
      <c r="V31" s="77"/>
      <c r="W31" s="78"/>
      <c r="X31" s="77"/>
      <c r="Y31" s="78"/>
      <c r="Z31" s="77"/>
      <c r="AA31" s="78"/>
      <c r="AB31" s="77"/>
      <c r="AC31" s="78"/>
      <c r="AD31" s="77"/>
      <c r="AE31" s="78"/>
      <c r="AI31" s="1"/>
      <c r="AJ31" s="1"/>
      <c r="AK31" s="1"/>
      <c r="AL31" s="1"/>
      <c r="AM31" s="1"/>
      <c r="AN31" s="1"/>
      <c r="AO31" s="1"/>
      <c r="AP31" s="1"/>
    </row>
    <row r="32" spans="1:42" s="5" customFormat="1">
      <c r="A32" s="42" t="s">
        <v>133</v>
      </c>
      <c r="B32" s="6">
        <v>5.15</v>
      </c>
      <c r="C32" s="6">
        <v>2.2000000000000002</v>
      </c>
      <c r="D32" s="6">
        <f t="shared" si="6"/>
        <v>14.700000000000001</v>
      </c>
      <c r="E32" s="4">
        <f t="shared" si="0"/>
        <v>46.620000000000005</v>
      </c>
      <c r="F32" s="4">
        <f t="shared" si="7"/>
        <v>11.330000000000002</v>
      </c>
      <c r="G32" s="4">
        <f t="shared" si="3"/>
        <v>11.330000000000002</v>
      </c>
      <c r="H32" s="77"/>
      <c r="I32" s="78"/>
      <c r="J32" s="77"/>
      <c r="K32" s="78"/>
      <c r="L32" s="77"/>
      <c r="M32" s="78"/>
      <c r="N32" s="77"/>
      <c r="O32" s="78"/>
      <c r="P32" s="75">
        <v>0.8</v>
      </c>
      <c r="Q32" s="76">
        <v>2.1</v>
      </c>
      <c r="R32" s="75">
        <v>0.8</v>
      </c>
      <c r="S32" s="76">
        <v>2.1</v>
      </c>
      <c r="T32" s="77"/>
      <c r="U32" s="78"/>
      <c r="V32" s="77"/>
      <c r="W32" s="78"/>
      <c r="X32" s="77"/>
      <c r="Y32" s="78"/>
      <c r="Z32" s="77"/>
      <c r="AA32" s="78"/>
      <c r="AB32" s="77"/>
      <c r="AC32" s="78"/>
      <c r="AD32" s="77"/>
      <c r="AE32" s="78"/>
      <c r="AI32" s="1"/>
      <c r="AJ32" s="1"/>
      <c r="AK32" s="1"/>
      <c r="AL32" s="1"/>
      <c r="AM32" s="1"/>
      <c r="AN32" s="1"/>
      <c r="AO32" s="1"/>
      <c r="AP32" s="1"/>
    </row>
    <row r="33" spans="1:42" s="5" customFormat="1">
      <c r="A33" s="42" t="s">
        <v>134</v>
      </c>
      <c r="B33" s="6">
        <v>3.45</v>
      </c>
      <c r="C33" s="6">
        <v>3.82</v>
      </c>
      <c r="D33" s="6">
        <f t="shared" si="6"/>
        <v>14.54</v>
      </c>
      <c r="E33" s="4">
        <f t="shared" si="0"/>
        <v>44.30599999999999</v>
      </c>
      <c r="F33" s="4">
        <f t="shared" si="7"/>
        <v>13.179</v>
      </c>
      <c r="G33" s="4">
        <f t="shared" si="3"/>
        <v>13.179</v>
      </c>
      <c r="H33" s="75">
        <v>3.45</v>
      </c>
      <c r="I33" s="76">
        <v>1</v>
      </c>
      <c r="J33" s="77"/>
      <c r="K33" s="78"/>
      <c r="L33" s="77"/>
      <c r="M33" s="78"/>
      <c r="N33" s="77"/>
      <c r="O33" s="78"/>
      <c r="P33" s="75">
        <v>0.8</v>
      </c>
      <c r="Q33" s="76">
        <v>2.1</v>
      </c>
      <c r="R33" s="77"/>
      <c r="S33" s="78"/>
      <c r="T33" s="77"/>
      <c r="U33" s="78"/>
      <c r="V33" s="77"/>
      <c r="W33" s="78"/>
      <c r="X33" s="77"/>
      <c r="Y33" s="78"/>
      <c r="Z33" s="77"/>
      <c r="AA33" s="78"/>
      <c r="AB33" s="77"/>
      <c r="AC33" s="78"/>
      <c r="AD33" s="77"/>
      <c r="AE33" s="78"/>
      <c r="AI33" s="1"/>
      <c r="AJ33" s="1"/>
      <c r="AK33" s="1"/>
      <c r="AL33" s="1"/>
      <c r="AM33" s="1"/>
      <c r="AN33" s="1"/>
      <c r="AO33" s="1"/>
      <c r="AP33" s="1"/>
    </row>
    <row r="34" spans="1:42" s="5" customFormat="1">
      <c r="A34" s="42" t="s">
        <v>135</v>
      </c>
      <c r="B34" s="6">
        <v>4.75</v>
      </c>
      <c r="C34" s="6">
        <v>1.89</v>
      </c>
      <c r="D34" s="6">
        <f t="shared" si="6"/>
        <v>13.28</v>
      </c>
      <c r="E34" s="4">
        <f t="shared" si="0"/>
        <v>33.811999999999991</v>
      </c>
      <c r="F34" s="4">
        <f t="shared" si="7"/>
        <v>8.9774999999999991</v>
      </c>
      <c r="G34" s="4">
        <f t="shared" si="3"/>
        <v>8.9774999999999991</v>
      </c>
      <c r="H34" s="77"/>
      <c r="I34" s="78"/>
      <c r="J34" s="77"/>
      <c r="K34" s="78"/>
      <c r="L34" s="77"/>
      <c r="M34" s="78"/>
      <c r="N34" s="77"/>
      <c r="O34" s="78"/>
      <c r="P34" s="75">
        <v>0.8</v>
      </c>
      <c r="Q34" s="76">
        <v>2.1</v>
      </c>
      <c r="R34" s="75">
        <v>0.8</v>
      </c>
      <c r="S34" s="76">
        <v>2.1</v>
      </c>
      <c r="T34" s="75">
        <v>0.8</v>
      </c>
      <c r="U34" s="76">
        <v>2.1</v>
      </c>
      <c r="V34" s="75">
        <v>0.9</v>
      </c>
      <c r="W34" s="76">
        <v>2.1</v>
      </c>
      <c r="X34" s="75">
        <v>0.9</v>
      </c>
      <c r="Y34" s="76">
        <v>2.1</v>
      </c>
      <c r="Z34" s="77"/>
      <c r="AA34" s="78"/>
      <c r="AB34" s="77"/>
      <c r="AC34" s="78"/>
      <c r="AD34" s="75">
        <v>1.2</v>
      </c>
      <c r="AE34" s="76">
        <v>2.1</v>
      </c>
      <c r="AI34" s="1"/>
      <c r="AJ34" s="1"/>
      <c r="AK34" s="1"/>
      <c r="AL34" s="1"/>
      <c r="AM34" s="1"/>
      <c r="AN34" s="1"/>
      <c r="AO34" s="1"/>
      <c r="AP34" s="1"/>
    </row>
    <row r="35" spans="1:42" s="5" customFormat="1">
      <c r="A35" s="42" t="s">
        <v>128</v>
      </c>
      <c r="B35" s="6">
        <v>1.8</v>
      </c>
      <c r="C35" s="6">
        <v>1.8</v>
      </c>
      <c r="D35" s="6">
        <f t="shared" si="6"/>
        <v>7.2</v>
      </c>
      <c r="E35" s="4">
        <f t="shared" si="0"/>
        <v>20.79</v>
      </c>
      <c r="F35" s="4">
        <f t="shared" si="7"/>
        <v>3.24</v>
      </c>
      <c r="G35" s="4">
        <f t="shared" si="3"/>
        <v>3.24</v>
      </c>
      <c r="H35" s="75">
        <v>1.8</v>
      </c>
      <c r="I35" s="76">
        <v>1</v>
      </c>
      <c r="J35" s="77"/>
      <c r="K35" s="78"/>
      <c r="L35" s="77"/>
      <c r="M35" s="78"/>
      <c r="N35" s="77"/>
      <c r="O35" s="78"/>
      <c r="P35" s="75">
        <v>0.9</v>
      </c>
      <c r="Q35" s="76">
        <v>2.1</v>
      </c>
      <c r="R35" s="77"/>
      <c r="S35" s="78"/>
      <c r="T35" s="77"/>
      <c r="U35" s="78"/>
      <c r="V35" s="77"/>
      <c r="W35" s="78"/>
      <c r="X35" s="77"/>
      <c r="Y35" s="78"/>
      <c r="Z35" s="77"/>
      <c r="AA35" s="78"/>
      <c r="AB35" s="77"/>
      <c r="AC35" s="78"/>
      <c r="AD35" s="77"/>
      <c r="AE35" s="78"/>
      <c r="AI35" s="1"/>
      <c r="AJ35" s="1"/>
      <c r="AK35" s="1"/>
      <c r="AL35" s="1"/>
      <c r="AM35" s="1"/>
      <c r="AN35" s="1"/>
      <c r="AO35" s="1"/>
      <c r="AP35" s="1"/>
    </row>
    <row r="36" spans="1:42" s="5" customFormat="1">
      <c r="A36" s="42" t="s">
        <v>136</v>
      </c>
      <c r="B36" s="6">
        <v>1.5</v>
      </c>
      <c r="C36" s="6">
        <v>1.8</v>
      </c>
      <c r="D36" s="6">
        <f t="shared" si="6"/>
        <v>6.6</v>
      </c>
      <c r="E36" s="4">
        <f t="shared" si="0"/>
        <v>19.259999999999998</v>
      </c>
      <c r="F36" s="4">
        <f t="shared" si="7"/>
        <v>2.7</v>
      </c>
      <c r="G36" s="4">
        <f t="shared" si="3"/>
        <v>2.7</v>
      </c>
      <c r="H36" s="75">
        <v>1.5</v>
      </c>
      <c r="I36" s="76">
        <v>1</v>
      </c>
      <c r="J36" s="77"/>
      <c r="K36" s="78"/>
      <c r="L36" s="77"/>
      <c r="M36" s="78"/>
      <c r="N36" s="77"/>
      <c r="O36" s="78"/>
      <c r="P36" s="75">
        <v>0.8</v>
      </c>
      <c r="Q36" s="76">
        <v>2.1</v>
      </c>
      <c r="R36" s="77"/>
      <c r="S36" s="78"/>
      <c r="T36" s="77"/>
      <c r="U36" s="78"/>
      <c r="V36" s="77"/>
      <c r="W36" s="78"/>
      <c r="X36" s="77"/>
      <c r="Y36" s="78"/>
      <c r="Z36" s="77"/>
      <c r="AA36" s="78"/>
      <c r="AB36" s="77"/>
      <c r="AC36" s="78"/>
      <c r="AD36" s="77"/>
      <c r="AE36" s="78"/>
      <c r="AI36" s="1"/>
      <c r="AJ36" s="1"/>
      <c r="AK36" s="1"/>
      <c r="AL36" s="1"/>
      <c r="AM36" s="1"/>
      <c r="AN36" s="1"/>
      <c r="AO36" s="1"/>
      <c r="AP36" s="1"/>
    </row>
    <row r="37" spans="1:42" s="5" customFormat="1">
      <c r="A37" s="42" t="s">
        <v>128</v>
      </c>
      <c r="B37" s="9"/>
      <c r="C37" s="9"/>
      <c r="D37" s="6">
        <v>7.1</v>
      </c>
      <c r="E37" s="4">
        <f t="shared" si="0"/>
        <v>20.499999999999996</v>
      </c>
      <c r="F37" s="4">
        <v>3.18</v>
      </c>
      <c r="G37" s="4">
        <f t="shared" si="3"/>
        <v>3.18</v>
      </c>
      <c r="H37" s="75">
        <v>1.75</v>
      </c>
      <c r="I37" s="76">
        <v>1</v>
      </c>
      <c r="J37" s="77"/>
      <c r="K37" s="78"/>
      <c r="L37" s="77"/>
      <c r="M37" s="78"/>
      <c r="N37" s="77"/>
      <c r="O37" s="78"/>
      <c r="P37" s="75">
        <v>0.9</v>
      </c>
      <c r="Q37" s="76">
        <v>2.1</v>
      </c>
      <c r="R37" s="77"/>
      <c r="S37" s="78"/>
      <c r="T37" s="77"/>
      <c r="U37" s="78"/>
      <c r="V37" s="77"/>
      <c r="W37" s="78"/>
      <c r="X37" s="77"/>
      <c r="Y37" s="78"/>
      <c r="Z37" s="77"/>
      <c r="AA37" s="78"/>
      <c r="AB37" s="77"/>
      <c r="AC37" s="78"/>
      <c r="AD37" s="77"/>
      <c r="AE37" s="78"/>
      <c r="AI37" s="1"/>
      <c r="AJ37" s="1"/>
      <c r="AK37" s="1"/>
      <c r="AL37" s="1"/>
      <c r="AM37" s="1"/>
      <c r="AN37" s="1"/>
      <c r="AO37" s="1"/>
      <c r="AP37" s="1"/>
    </row>
    <row r="38" spans="1:42" s="5" customFormat="1">
      <c r="A38" s="42" t="s">
        <v>134</v>
      </c>
      <c r="B38" s="9"/>
      <c r="C38" s="9"/>
      <c r="D38" s="6">
        <v>15.12</v>
      </c>
      <c r="E38" s="4">
        <f t="shared" si="0"/>
        <v>46.327999999999996</v>
      </c>
      <c r="F38" s="4">
        <v>12.85</v>
      </c>
      <c r="G38" s="4">
        <f t="shared" si="3"/>
        <v>12.85</v>
      </c>
      <c r="H38" s="75">
        <v>3.4</v>
      </c>
      <c r="I38" s="76">
        <v>1</v>
      </c>
      <c r="J38" s="77"/>
      <c r="K38" s="78"/>
      <c r="L38" s="77"/>
      <c r="M38" s="78"/>
      <c r="N38" s="77"/>
      <c r="O38" s="78"/>
      <c r="P38" s="75">
        <v>0.8</v>
      </c>
      <c r="Q38" s="76">
        <v>2.1</v>
      </c>
      <c r="R38" s="77"/>
      <c r="S38" s="78"/>
      <c r="T38" s="77"/>
      <c r="U38" s="78"/>
      <c r="V38" s="77"/>
      <c r="W38" s="78"/>
      <c r="X38" s="77"/>
      <c r="Y38" s="78"/>
      <c r="Z38" s="77"/>
      <c r="AA38" s="78"/>
      <c r="AB38" s="77"/>
      <c r="AC38" s="78"/>
      <c r="AD38" s="77"/>
      <c r="AE38" s="78"/>
      <c r="AI38" s="1"/>
      <c r="AJ38" s="1"/>
      <c r="AK38" s="1"/>
      <c r="AL38" s="1"/>
      <c r="AM38" s="1"/>
      <c r="AN38" s="1"/>
      <c r="AO38" s="1"/>
      <c r="AP38" s="1"/>
    </row>
    <row r="39" spans="1:42" s="5" customFormat="1">
      <c r="A39" s="42" t="s">
        <v>143</v>
      </c>
      <c r="B39" s="9"/>
      <c r="C39" s="9"/>
      <c r="D39" s="6">
        <v>63.03</v>
      </c>
      <c r="E39" s="4">
        <f t="shared" si="0"/>
        <v>137.83949999999999</v>
      </c>
      <c r="F39" s="4">
        <v>175.36</v>
      </c>
      <c r="G39" s="4">
        <f t="shared" si="3"/>
        <v>175.36</v>
      </c>
      <c r="H39" s="75">
        <v>7.75</v>
      </c>
      <c r="I39" s="76">
        <v>2.95</v>
      </c>
      <c r="J39" s="75">
        <v>4.8</v>
      </c>
      <c r="K39" s="76">
        <v>2.65</v>
      </c>
      <c r="L39" s="77"/>
      <c r="M39" s="78"/>
      <c r="N39" s="77"/>
      <c r="O39" s="78"/>
      <c r="P39" s="75">
        <v>4.8</v>
      </c>
      <c r="Q39" s="76">
        <v>2.65</v>
      </c>
      <c r="R39" s="75">
        <v>5</v>
      </c>
      <c r="S39" s="76">
        <v>2.65</v>
      </c>
      <c r="T39" s="75">
        <v>2.1</v>
      </c>
      <c r="U39" s="76">
        <v>2.1</v>
      </c>
      <c r="V39" s="75">
        <v>0.8</v>
      </c>
      <c r="W39" s="76">
        <v>2.1</v>
      </c>
      <c r="X39" s="75">
        <v>0.8</v>
      </c>
      <c r="Y39" s="76">
        <v>2.1</v>
      </c>
      <c r="Z39" s="86"/>
      <c r="AA39" s="87"/>
      <c r="AB39" s="75">
        <v>1.2</v>
      </c>
      <c r="AC39" s="76">
        <v>2.1</v>
      </c>
      <c r="AD39" s="75">
        <v>2.2000000000000002</v>
      </c>
      <c r="AE39" s="76">
        <v>2.1</v>
      </c>
      <c r="AI39" s="1"/>
      <c r="AJ39" s="1"/>
      <c r="AK39" s="1"/>
      <c r="AL39" s="1"/>
      <c r="AM39" s="1"/>
      <c r="AN39" s="1"/>
      <c r="AO39" s="1"/>
      <c r="AP39" s="1"/>
    </row>
    <row r="40" spans="1:42" s="5" customFormat="1">
      <c r="A40" s="42" t="s">
        <v>137</v>
      </c>
      <c r="B40" s="6">
        <v>1.95</v>
      </c>
      <c r="C40" s="6">
        <v>3.23</v>
      </c>
      <c r="D40" s="6">
        <f t="shared" ref="D40" si="8">2*(B40+C40)</f>
        <v>10.36</v>
      </c>
      <c r="E40" s="4">
        <f t="shared" si="0"/>
        <v>33.543999999999997</v>
      </c>
      <c r="F40" s="4">
        <f t="shared" ref="F40" si="9">B40*C40</f>
        <v>6.2984999999999998</v>
      </c>
      <c r="G40" s="4">
        <f t="shared" si="3"/>
        <v>6.2984999999999998</v>
      </c>
      <c r="H40" s="77"/>
      <c r="I40" s="78"/>
      <c r="J40" s="77"/>
      <c r="K40" s="78"/>
      <c r="L40" s="77"/>
      <c r="M40" s="78"/>
      <c r="N40" s="77"/>
      <c r="O40" s="78"/>
      <c r="P40" s="75">
        <v>0.8</v>
      </c>
      <c r="Q40" s="76">
        <v>2.1</v>
      </c>
      <c r="R40" s="77"/>
      <c r="S40" s="78"/>
      <c r="T40" s="77"/>
      <c r="U40" s="78"/>
      <c r="V40" s="77"/>
      <c r="W40" s="78"/>
      <c r="X40" s="77"/>
      <c r="Y40" s="78"/>
      <c r="Z40" s="77"/>
      <c r="AA40" s="78"/>
      <c r="AB40" s="77"/>
      <c r="AC40" s="78"/>
      <c r="AD40" s="77"/>
      <c r="AE40" s="78"/>
      <c r="AI40" s="1"/>
      <c r="AJ40" s="1"/>
      <c r="AK40" s="1"/>
      <c r="AL40" s="1"/>
      <c r="AM40" s="1"/>
      <c r="AN40" s="1"/>
      <c r="AO40" s="1"/>
      <c r="AP40" s="1"/>
    </row>
    <row r="41" spans="1:42" s="5" customFormat="1">
      <c r="A41" s="42" t="s">
        <v>138</v>
      </c>
      <c r="B41" s="6">
        <v>1.95</v>
      </c>
      <c r="C41" s="6">
        <v>2.15</v>
      </c>
      <c r="D41" s="6">
        <f t="shared" ref="D41:D42" si="10">2*(B41+C41)</f>
        <v>8.1999999999999993</v>
      </c>
      <c r="E41" s="4">
        <f t="shared" si="0"/>
        <v>22.629999999999995</v>
      </c>
      <c r="F41" s="4">
        <f t="shared" ref="F41:F42" si="11">B41*C41</f>
        <v>4.1924999999999999</v>
      </c>
      <c r="G41" s="4">
        <f t="shared" si="3"/>
        <v>4.1924999999999999</v>
      </c>
      <c r="H41" s="75">
        <v>1.05</v>
      </c>
      <c r="I41" s="76">
        <v>1.8</v>
      </c>
      <c r="J41" s="77"/>
      <c r="K41" s="78"/>
      <c r="L41" s="77"/>
      <c r="M41" s="78"/>
      <c r="N41" s="77"/>
      <c r="O41" s="78"/>
      <c r="P41" s="75">
        <v>0.8</v>
      </c>
      <c r="Q41" s="76">
        <v>2.1</v>
      </c>
      <c r="R41" s="75">
        <v>0.8</v>
      </c>
      <c r="S41" s="76">
        <v>2.1</v>
      </c>
      <c r="T41" s="77"/>
      <c r="U41" s="78"/>
      <c r="V41" s="77"/>
      <c r="W41" s="78"/>
      <c r="X41" s="77"/>
      <c r="Y41" s="78"/>
      <c r="Z41" s="77"/>
      <c r="AA41" s="78"/>
      <c r="AB41" s="77"/>
      <c r="AC41" s="78"/>
      <c r="AD41" s="77"/>
      <c r="AE41" s="78"/>
      <c r="AI41" s="1"/>
      <c r="AJ41" s="1"/>
      <c r="AK41" s="1"/>
      <c r="AL41" s="1"/>
      <c r="AM41" s="1"/>
      <c r="AN41" s="1"/>
      <c r="AO41" s="1"/>
      <c r="AP41" s="1"/>
    </row>
    <row r="42" spans="1:42" s="5" customFormat="1">
      <c r="A42" s="42" t="s">
        <v>134</v>
      </c>
      <c r="B42" s="6">
        <v>1.95</v>
      </c>
      <c r="C42" s="6">
        <v>1.1000000000000001</v>
      </c>
      <c r="D42" s="6">
        <f t="shared" si="10"/>
        <v>6.1</v>
      </c>
      <c r="E42" s="4">
        <f t="shared" si="0"/>
        <v>18.259999999999998</v>
      </c>
      <c r="F42" s="4">
        <f t="shared" si="11"/>
        <v>2.145</v>
      </c>
      <c r="G42" s="4">
        <f t="shared" si="3"/>
        <v>2.145</v>
      </c>
      <c r="H42" s="75">
        <v>1</v>
      </c>
      <c r="I42" s="76">
        <v>0.8</v>
      </c>
      <c r="J42" s="77"/>
      <c r="K42" s="78"/>
      <c r="L42" s="77"/>
      <c r="M42" s="78"/>
      <c r="N42" s="77"/>
      <c r="O42" s="78"/>
      <c r="P42" s="75">
        <v>0.8</v>
      </c>
      <c r="Q42" s="76">
        <v>2.1</v>
      </c>
      <c r="R42" s="77"/>
      <c r="S42" s="78"/>
      <c r="T42" s="77"/>
      <c r="U42" s="78"/>
      <c r="V42" s="77"/>
      <c r="W42" s="78"/>
      <c r="X42" s="77"/>
      <c r="Y42" s="78"/>
      <c r="Z42" s="77"/>
      <c r="AA42" s="78"/>
      <c r="AB42" s="77"/>
      <c r="AC42" s="78"/>
      <c r="AD42" s="77"/>
      <c r="AE42" s="78"/>
      <c r="AI42" s="1"/>
      <c r="AJ42" s="1"/>
      <c r="AK42" s="1"/>
      <c r="AL42" s="1"/>
      <c r="AM42" s="1"/>
      <c r="AN42" s="1"/>
      <c r="AO42" s="1"/>
      <c r="AP42" s="1"/>
    </row>
    <row r="43" spans="1:42" s="5" customFormat="1">
      <c r="A43" s="42" t="s">
        <v>139</v>
      </c>
      <c r="B43" s="9"/>
      <c r="C43" s="9"/>
      <c r="D43" s="6">
        <v>27.06</v>
      </c>
      <c r="E43" s="4">
        <f t="shared" si="0"/>
        <v>81.590999999999994</v>
      </c>
      <c r="F43" s="43"/>
      <c r="G43" s="43"/>
      <c r="H43" s="75">
        <v>3</v>
      </c>
      <c r="I43" s="76">
        <v>1</v>
      </c>
      <c r="J43" s="77"/>
      <c r="K43" s="78"/>
      <c r="L43" s="77"/>
      <c r="M43" s="78"/>
      <c r="N43" s="77"/>
      <c r="O43" s="78"/>
      <c r="P43" s="75">
        <v>1.33</v>
      </c>
      <c r="Q43" s="76">
        <v>2.1</v>
      </c>
      <c r="R43" s="77"/>
      <c r="S43" s="78"/>
      <c r="T43" s="77"/>
      <c r="U43" s="78"/>
      <c r="V43" s="77"/>
      <c r="W43" s="78"/>
      <c r="X43" s="77"/>
      <c r="Y43" s="78"/>
      <c r="Z43" s="77"/>
      <c r="AA43" s="78"/>
      <c r="AB43" s="77"/>
      <c r="AC43" s="78"/>
      <c r="AD43" s="75">
        <v>2.2000000000000002</v>
      </c>
      <c r="AE43" s="76">
        <v>2.1</v>
      </c>
      <c r="AI43" s="1"/>
      <c r="AJ43" s="1"/>
      <c r="AK43" s="1"/>
      <c r="AL43" s="1"/>
      <c r="AM43" s="1"/>
      <c r="AN43" s="1"/>
      <c r="AO43" s="1"/>
      <c r="AP43" s="1"/>
    </row>
    <row r="44" spans="1:42" s="5" customFormat="1">
      <c r="A44" s="42" t="s">
        <v>110</v>
      </c>
      <c r="B44" s="6">
        <v>1.75</v>
      </c>
      <c r="C44" s="6">
        <v>1.45</v>
      </c>
      <c r="D44" s="6">
        <f t="shared" si="1"/>
        <v>6.4</v>
      </c>
      <c r="E44" s="4">
        <f t="shared" si="0"/>
        <v>18.967000000000002</v>
      </c>
      <c r="F44" s="9"/>
      <c r="G44" s="9"/>
      <c r="H44" s="77"/>
      <c r="I44" s="78"/>
      <c r="J44" s="77"/>
      <c r="K44" s="78"/>
      <c r="L44" s="77"/>
      <c r="M44" s="78"/>
      <c r="N44" s="77"/>
      <c r="O44" s="78"/>
      <c r="P44" s="75">
        <v>1.33</v>
      </c>
      <c r="Q44" s="76">
        <v>2.1</v>
      </c>
      <c r="R44" s="77"/>
      <c r="S44" s="78"/>
      <c r="T44" s="77"/>
      <c r="U44" s="78"/>
      <c r="V44" s="77"/>
      <c r="W44" s="78"/>
      <c r="X44" s="77"/>
      <c r="Y44" s="78"/>
      <c r="Z44" s="77"/>
      <c r="AA44" s="78"/>
      <c r="AB44" s="77"/>
      <c r="AC44" s="78"/>
      <c r="AD44" s="77"/>
      <c r="AE44" s="78"/>
      <c r="AI44" s="1"/>
      <c r="AJ44" s="1"/>
      <c r="AK44" s="1"/>
      <c r="AL44" s="1"/>
      <c r="AM44" s="1"/>
      <c r="AN44" s="1"/>
      <c r="AO44" s="1"/>
      <c r="AP44" s="1"/>
    </row>
    <row r="45" spans="1:42" s="5" customFormat="1">
      <c r="A45" s="42" t="s">
        <v>4</v>
      </c>
      <c r="B45" s="9"/>
      <c r="C45" s="9"/>
      <c r="D45" s="6">
        <v>134.11000000000001</v>
      </c>
      <c r="E45" s="4">
        <f t="shared" si="0"/>
        <v>364.90400000000005</v>
      </c>
      <c r="F45" s="4">
        <v>148.59</v>
      </c>
      <c r="G45" s="4">
        <f t="shared" si="3"/>
        <v>148.59</v>
      </c>
      <c r="H45" s="75">
        <v>2</v>
      </c>
      <c r="I45" s="76">
        <v>1</v>
      </c>
      <c r="J45" s="77"/>
      <c r="K45" s="78"/>
      <c r="L45" s="77"/>
      <c r="M45" s="78"/>
      <c r="N45" s="75">
        <v>1.75</v>
      </c>
      <c r="O45" s="76">
        <v>1</v>
      </c>
      <c r="P45" s="75">
        <f>18*0.8</f>
        <v>14.4</v>
      </c>
      <c r="Q45" s="76">
        <v>2.1</v>
      </c>
      <c r="R45" s="75">
        <f>4*2.1</f>
        <v>8.4</v>
      </c>
      <c r="S45" s="76">
        <v>2.1</v>
      </c>
      <c r="T45" s="75">
        <f>7*1.1</f>
        <v>7.7000000000000011</v>
      </c>
      <c r="U45" s="76">
        <v>2.1</v>
      </c>
      <c r="V45" s="75">
        <v>1.2</v>
      </c>
      <c r="W45" s="76">
        <v>2.1</v>
      </c>
      <c r="X45" s="75">
        <f>2*0.9</f>
        <v>1.8</v>
      </c>
      <c r="Y45" s="76">
        <v>2.1</v>
      </c>
      <c r="Z45" s="75">
        <v>1.1000000000000001</v>
      </c>
      <c r="AA45" s="76">
        <v>2.1</v>
      </c>
      <c r="AB45" s="75">
        <v>1.2</v>
      </c>
      <c r="AC45" s="76">
        <v>0.6</v>
      </c>
      <c r="AD45" s="75">
        <f>1.9+2.2</f>
        <v>4.0999999999999996</v>
      </c>
      <c r="AE45" s="76">
        <f>A2</f>
        <v>3.4</v>
      </c>
      <c r="AI45" s="1"/>
      <c r="AJ45" s="1"/>
      <c r="AK45" s="1"/>
      <c r="AL45" s="1"/>
      <c r="AM45" s="1"/>
      <c r="AN45" s="1"/>
      <c r="AO45" s="1"/>
      <c r="AP45" s="1"/>
    </row>
    <row r="46" spans="1:42" s="5" customFormat="1">
      <c r="A46" s="42" t="s">
        <v>140</v>
      </c>
      <c r="B46" s="6">
        <v>2.35</v>
      </c>
      <c r="C46" s="6">
        <v>3.42</v>
      </c>
      <c r="D46" s="6">
        <f t="shared" ref="D46" si="12">2*(B46+C46)</f>
        <v>11.54</v>
      </c>
      <c r="E46" s="4">
        <f t="shared" si="0"/>
        <v>37.555999999999997</v>
      </c>
      <c r="F46" s="4">
        <f t="shared" ref="F46" si="13">B46*C46</f>
        <v>8.0370000000000008</v>
      </c>
      <c r="G46" s="4">
        <f t="shared" si="3"/>
        <v>8.0370000000000008</v>
      </c>
      <c r="H46" s="77"/>
      <c r="I46" s="78"/>
      <c r="J46" s="77"/>
      <c r="K46" s="78"/>
      <c r="L46" s="77"/>
      <c r="M46" s="78"/>
      <c r="N46" s="77"/>
      <c r="O46" s="78"/>
      <c r="P46" s="75">
        <v>0.8</v>
      </c>
      <c r="Q46" s="76">
        <v>2.1</v>
      </c>
      <c r="R46" s="77"/>
      <c r="S46" s="78"/>
      <c r="T46" s="77"/>
      <c r="U46" s="78"/>
      <c r="V46" s="77"/>
      <c r="W46" s="78"/>
      <c r="X46" s="77"/>
      <c r="Y46" s="78"/>
      <c r="Z46" s="77"/>
      <c r="AA46" s="78"/>
      <c r="AB46" s="77"/>
      <c r="AC46" s="78"/>
      <c r="AD46" s="77"/>
      <c r="AE46" s="78"/>
      <c r="AI46" s="1"/>
      <c r="AJ46" s="1"/>
      <c r="AK46" s="1"/>
      <c r="AL46" s="1"/>
      <c r="AM46" s="1"/>
      <c r="AN46" s="1"/>
      <c r="AO46" s="1"/>
      <c r="AP46" s="1"/>
    </row>
    <row r="47" spans="1:42" s="5" customFormat="1">
      <c r="A47" s="42" t="s">
        <v>145</v>
      </c>
      <c r="B47" s="9"/>
      <c r="C47" s="9"/>
      <c r="D47" s="6">
        <v>45.7</v>
      </c>
      <c r="E47" s="4">
        <f t="shared" si="0"/>
        <v>144.79</v>
      </c>
      <c r="F47" s="4">
        <v>79.39</v>
      </c>
      <c r="G47" s="4">
        <f t="shared" si="3"/>
        <v>79.39</v>
      </c>
      <c r="H47" s="75">
        <v>2.75</v>
      </c>
      <c r="I47" s="76">
        <v>1</v>
      </c>
      <c r="J47" s="77"/>
      <c r="K47" s="78"/>
      <c r="L47" s="77"/>
      <c r="M47" s="78"/>
      <c r="N47" s="77"/>
      <c r="O47" s="78"/>
      <c r="P47" s="75">
        <v>0.9</v>
      </c>
      <c r="Q47" s="76">
        <v>2.1</v>
      </c>
      <c r="R47" s="75">
        <v>0.9</v>
      </c>
      <c r="S47" s="76">
        <v>2.1</v>
      </c>
      <c r="T47" s="75">
        <v>1.1000000000000001</v>
      </c>
      <c r="U47" s="76">
        <v>2.1</v>
      </c>
      <c r="V47" s="77"/>
      <c r="W47" s="78"/>
      <c r="X47" s="77"/>
      <c r="Y47" s="78"/>
      <c r="Z47" s="77"/>
      <c r="AA47" s="78"/>
      <c r="AB47" s="75">
        <v>1.75</v>
      </c>
      <c r="AC47" s="76">
        <v>1</v>
      </c>
      <c r="AD47" s="77"/>
      <c r="AE47" s="78"/>
      <c r="AI47" s="1"/>
      <c r="AJ47" s="1"/>
      <c r="AK47" s="1"/>
      <c r="AL47" s="1"/>
      <c r="AM47" s="1"/>
      <c r="AN47" s="1"/>
      <c r="AO47" s="1"/>
      <c r="AP47" s="1"/>
    </row>
    <row r="48" spans="1:42" s="5" customFormat="1">
      <c r="A48" s="42" t="s">
        <v>128</v>
      </c>
      <c r="B48" s="6">
        <v>2.35</v>
      </c>
      <c r="C48" s="6">
        <v>1.8</v>
      </c>
      <c r="D48" s="6">
        <f t="shared" ref="D48:D49" si="14">2*(B48+C48)</f>
        <v>8.3000000000000007</v>
      </c>
      <c r="E48" s="4">
        <f t="shared" si="0"/>
        <v>25.53</v>
      </c>
      <c r="F48" s="4">
        <f t="shared" ref="F48:F49" si="15">B48*C48</f>
        <v>4.2300000000000004</v>
      </c>
      <c r="G48" s="4">
        <f t="shared" si="3"/>
        <v>4.2300000000000004</v>
      </c>
      <c r="H48" s="75">
        <v>1</v>
      </c>
      <c r="I48" s="76">
        <v>0.8</v>
      </c>
      <c r="J48" s="77"/>
      <c r="K48" s="78"/>
      <c r="L48" s="77"/>
      <c r="M48" s="78"/>
      <c r="N48" s="77"/>
      <c r="O48" s="78"/>
      <c r="P48" s="75">
        <v>0.9</v>
      </c>
      <c r="Q48" s="76">
        <v>2.1</v>
      </c>
      <c r="R48" s="77"/>
      <c r="S48" s="78"/>
      <c r="T48" s="77"/>
      <c r="U48" s="78"/>
      <c r="V48" s="77"/>
      <c r="W48" s="78"/>
      <c r="X48" s="77"/>
      <c r="Y48" s="78"/>
      <c r="Z48" s="77"/>
      <c r="AA48" s="78"/>
      <c r="AB48" s="77"/>
      <c r="AC48" s="78"/>
      <c r="AD48" s="77"/>
      <c r="AE48" s="78"/>
      <c r="AI48" s="1"/>
      <c r="AJ48" s="1"/>
      <c r="AK48" s="1"/>
      <c r="AL48" s="1"/>
      <c r="AM48" s="1"/>
      <c r="AN48" s="1"/>
      <c r="AO48" s="1"/>
      <c r="AP48" s="1"/>
    </row>
    <row r="49" spans="1:42" s="5" customFormat="1">
      <c r="A49" s="42" t="s">
        <v>128</v>
      </c>
      <c r="B49" s="6">
        <v>2.35</v>
      </c>
      <c r="C49" s="6">
        <v>1.8</v>
      </c>
      <c r="D49" s="6">
        <f t="shared" si="14"/>
        <v>8.3000000000000007</v>
      </c>
      <c r="E49" s="4">
        <f t="shared" si="0"/>
        <v>25.53</v>
      </c>
      <c r="F49" s="4">
        <f t="shared" si="15"/>
        <v>4.2300000000000004</v>
      </c>
      <c r="G49" s="4">
        <f t="shared" si="3"/>
        <v>4.2300000000000004</v>
      </c>
      <c r="H49" s="75">
        <v>1</v>
      </c>
      <c r="I49" s="76">
        <v>0.8</v>
      </c>
      <c r="J49" s="77"/>
      <c r="K49" s="78"/>
      <c r="L49" s="77"/>
      <c r="M49" s="78"/>
      <c r="N49" s="77"/>
      <c r="O49" s="78"/>
      <c r="P49" s="75">
        <v>0.9</v>
      </c>
      <c r="Q49" s="76">
        <v>2.1</v>
      </c>
      <c r="R49" s="77"/>
      <c r="S49" s="78"/>
      <c r="T49" s="77"/>
      <c r="U49" s="78"/>
      <c r="V49" s="77"/>
      <c r="W49" s="78"/>
      <c r="X49" s="77"/>
      <c r="Y49" s="78"/>
      <c r="Z49" s="77"/>
      <c r="AA49" s="78"/>
      <c r="AB49" s="77"/>
      <c r="AC49" s="78"/>
      <c r="AD49" s="77"/>
      <c r="AE49" s="78"/>
      <c r="AI49" s="1"/>
      <c r="AJ49" s="1"/>
      <c r="AK49" s="1"/>
      <c r="AL49" s="1"/>
      <c r="AM49" s="1"/>
      <c r="AN49" s="1"/>
      <c r="AO49" s="1"/>
      <c r="AP49" s="1"/>
    </row>
    <row r="50" spans="1:42" s="5" customFormat="1">
      <c r="A50" s="42" t="s">
        <v>146</v>
      </c>
      <c r="B50" s="9"/>
      <c r="C50" s="9"/>
      <c r="D50" s="6">
        <v>33.200000000000003</v>
      </c>
      <c r="E50" s="4">
        <f t="shared" si="0"/>
        <v>101.76</v>
      </c>
      <c r="F50" s="4">
        <v>59.11</v>
      </c>
      <c r="G50" s="4">
        <f t="shared" si="3"/>
        <v>59.11</v>
      </c>
      <c r="H50" s="75">
        <v>2.2000000000000002</v>
      </c>
      <c r="I50" s="76">
        <v>1</v>
      </c>
      <c r="J50" s="75">
        <v>2.2000000000000002</v>
      </c>
      <c r="K50" s="76">
        <v>1</v>
      </c>
      <c r="L50" s="77"/>
      <c r="M50" s="78"/>
      <c r="N50" s="77"/>
      <c r="O50" s="78"/>
      <c r="P50" s="75">
        <v>1.1000000000000001</v>
      </c>
      <c r="Q50" s="76">
        <v>2.1</v>
      </c>
      <c r="R50" s="75">
        <v>2.1</v>
      </c>
      <c r="S50" s="76">
        <v>2.1</v>
      </c>
      <c r="T50" s="77"/>
      <c r="U50" s="78"/>
      <c r="V50" s="77"/>
      <c r="W50" s="78"/>
      <c r="X50" s="77"/>
      <c r="Y50" s="78"/>
      <c r="Z50" s="77"/>
      <c r="AA50" s="78"/>
      <c r="AB50" s="77"/>
      <c r="AC50" s="78"/>
      <c r="AD50" s="77"/>
      <c r="AE50" s="78"/>
      <c r="AI50" s="1"/>
      <c r="AJ50" s="1"/>
      <c r="AK50" s="1"/>
      <c r="AL50" s="1"/>
      <c r="AM50" s="1"/>
      <c r="AN50" s="1"/>
      <c r="AO50" s="1"/>
      <c r="AP50" s="1"/>
    </row>
    <row r="51" spans="1:42" s="5" customFormat="1">
      <c r="A51" s="42" t="s">
        <v>122</v>
      </c>
      <c r="B51" s="6">
        <v>1.9</v>
      </c>
      <c r="C51" s="6">
        <v>3.25</v>
      </c>
      <c r="D51" s="6">
        <f t="shared" si="1"/>
        <v>10.3</v>
      </c>
      <c r="E51" s="4">
        <f t="shared" si="0"/>
        <v>28.560000000000002</v>
      </c>
      <c r="F51" s="9"/>
      <c r="G51" s="9"/>
      <c r="H51" s="77"/>
      <c r="I51" s="78"/>
      <c r="J51" s="77"/>
      <c r="K51" s="78"/>
      <c r="L51" s="77"/>
      <c r="M51" s="78"/>
      <c r="N51" s="77"/>
      <c r="O51" s="78"/>
      <c r="P51" s="77"/>
      <c r="Q51" s="78"/>
      <c r="R51" s="77"/>
      <c r="S51" s="78"/>
      <c r="T51" s="77"/>
      <c r="U51" s="78"/>
      <c r="V51" s="77"/>
      <c r="W51" s="78"/>
      <c r="X51" s="77"/>
      <c r="Y51" s="78"/>
      <c r="Z51" s="77"/>
      <c r="AA51" s="78"/>
      <c r="AB51" s="77"/>
      <c r="AC51" s="78"/>
      <c r="AD51" s="75">
        <v>1.9</v>
      </c>
      <c r="AE51" s="76">
        <v>3.4</v>
      </c>
      <c r="AI51" s="1"/>
      <c r="AJ51" s="1"/>
      <c r="AK51" s="1"/>
      <c r="AL51" s="1"/>
      <c r="AM51" s="1"/>
      <c r="AN51" s="1"/>
      <c r="AO51" s="1"/>
      <c r="AP51" s="1"/>
    </row>
    <row r="52" spans="1:42" s="5" customFormat="1">
      <c r="A52" s="42" t="s">
        <v>147</v>
      </c>
      <c r="B52" s="6">
        <v>3.45</v>
      </c>
      <c r="C52" s="6">
        <v>2.4500000000000002</v>
      </c>
      <c r="D52" s="6">
        <f t="shared" si="1"/>
        <v>11.8</v>
      </c>
      <c r="E52" s="4">
        <f t="shared" si="0"/>
        <v>35.5</v>
      </c>
      <c r="F52" s="4">
        <f t="shared" ref="F52:F57" si="16">B52*C52</f>
        <v>8.4525000000000006</v>
      </c>
      <c r="G52" s="4">
        <f t="shared" si="3"/>
        <v>8.4525000000000006</v>
      </c>
      <c r="H52" s="77"/>
      <c r="I52" s="78"/>
      <c r="J52" s="77"/>
      <c r="K52" s="78"/>
      <c r="L52" s="77"/>
      <c r="M52" s="78"/>
      <c r="N52" s="77"/>
      <c r="O52" s="78"/>
      <c r="P52" s="75">
        <v>1.1000000000000001</v>
      </c>
      <c r="Q52" s="76">
        <v>2.1</v>
      </c>
      <c r="R52" s="75">
        <v>1.1000000000000001</v>
      </c>
      <c r="S52" s="76">
        <v>2.1</v>
      </c>
      <c r="T52" s="77"/>
      <c r="U52" s="78"/>
      <c r="V52" s="77"/>
      <c r="W52" s="78"/>
      <c r="X52" s="77"/>
      <c r="Y52" s="78"/>
      <c r="Z52" s="77"/>
      <c r="AA52" s="78"/>
      <c r="AB52" s="77"/>
      <c r="AC52" s="78"/>
      <c r="AD52" s="77"/>
      <c r="AE52" s="78"/>
      <c r="AI52" s="1"/>
      <c r="AJ52" s="1"/>
      <c r="AK52" s="1"/>
      <c r="AL52" s="1"/>
      <c r="AM52" s="1"/>
      <c r="AN52" s="1"/>
      <c r="AO52" s="1"/>
      <c r="AP52" s="1"/>
    </row>
    <row r="53" spans="1:42" s="5" customFormat="1">
      <c r="A53" s="42" t="s">
        <v>124</v>
      </c>
      <c r="B53" s="6">
        <v>3.45</v>
      </c>
      <c r="C53" s="6">
        <v>3.2</v>
      </c>
      <c r="D53" s="6">
        <f t="shared" si="1"/>
        <v>13.3</v>
      </c>
      <c r="E53" s="4">
        <f t="shared" si="0"/>
        <v>34.089999999999996</v>
      </c>
      <c r="F53" s="4">
        <f t="shared" si="16"/>
        <v>11.040000000000001</v>
      </c>
      <c r="G53" s="4">
        <f t="shared" si="3"/>
        <v>11.040000000000001</v>
      </c>
      <c r="H53" s="77"/>
      <c r="I53" s="78"/>
      <c r="J53" s="77"/>
      <c r="K53" s="78"/>
      <c r="L53" s="77"/>
      <c r="M53" s="78"/>
      <c r="N53" s="77"/>
      <c r="O53" s="78"/>
      <c r="P53" s="75">
        <v>1.1000000000000001</v>
      </c>
      <c r="Q53" s="76">
        <v>2.1</v>
      </c>
      <c r="R53" s="75">
        <v>2.1</v>
      </c>
      <c r="S53" s="76">
        <v>2.1</v>
      </c>
      <c r="T53" s="75">
        <v>2.1</v>
      </c>
      <c r="U53" s="76">
        <v>2.1</v>
      </c>
      <c r="V53" s="77"/>
      <c r="W53" s="78"/>
      <c r="X53" s="77"/>
      <c r="Y53" s="78"/>
      <c r="Z53" s="77"/>
      <c r="AA53" s="78"/>
      <c r="AB53" s="77"/>
      <c r="AC53" s="78"/>
      <c r="AD53" s="77"/>
      <c r="AE53" s="78"/>
      <c r="AI53" s="1"/>
      <c r="AJ53" s="1"/>
      <c r="AK53" s="1"/>
      <c r="AL53" s="1"/>
      <c r="AM53" s="1"/>
      <c r="AN53" s="1"/>
      <c r="AO53" s="1"/>
      <c r="AP53" s="1"/>
    </row>
    <row r="54" spans="1:42" s="5" customFormat="1">
      <c r="A54" s="42" t="s">
        <v>148</v>
      </c>
      <c r="B54" s="6">
        <v>4.55</v>
      </c>
      <c r="C54" s="6">
        <v>2.35</v>
      </c>
      <c r="D54" s="6">
        <f t="shared" si="1"/>
        <v>13.8</v>
      </c>
      <c r="E54" s="4">
        <f t="shared" si="0"/>
        <v>44.61</v>
      </c>
      <c r="F54" s="4">
        <f t="shared" si="16"/>
        <v>10.692500000000001</v>
      </c>
      <c r="G54" s="4">
        <f t="shared" si="3"/>
        <v>10.692500000000001</v>
      </c>
      <c r="H54" s="77"/>
      <c r="I54" s="78"/>
      <c r="J54" s="77"/>
      <c r="K54" s="78"/>
      <c r="L54" s="77"/>
      <c r="M54" s="78"/>
      <c r="N54" s="77"/>
      <c r="O54" s="78"/>
      <c r="P54" s="75">
        <v>1.1000000000000001</v>
      </c>
      <c r="Q54" s="76">
        <v>2.1</v>
      </c>
      <c r="R54" s="77"/>
      <c r="S54" s="78"/>
      <c r="T54" s="77"/>
      <c r="U54" s="78"/>
      <c r="V54" s="77"/>
      <c r="W54" s="78"/>
      <c r="X54" s="77"/>
      <c r="Y54" s="78"/>
      <c r="Z54" s="77"/>
      <c r="AA54" s="78"/>
      <c r="AB54" s="77"/>
      <c r="AC54" s="78"/>
      <c r="AD54" s="77"/>
      <c r="AE54" s="78"/>
      <c r="AI54" s="1"/>
      <c r="AJ54" s="1"/>
      <c r="AK54" s="1"/>
      <c r="AL54" s="1"/>
      <c r="AM54" s="1"/>
      <c r="AN54" s="1"/>
      <c r="AO54" s="1"/>
      <c r="AP54" s="1"/>
    </row>
    <row r="55" spans="1:42" s="5" customFormat="1">
      <c r="A55" s="42" t="s">
        <v>110</v>
      </c>
      <c r="B55" s="6">
        <v>2.9</v>
      </c>
      <c r="C55" s="6">
        <v>1.95</v>
      </c>
      <c r="D55" s="6">
        <f t="shared" si="1"/>
        <v>9.6999999999999993</v>
      </c>
      <c r="E55" s="4">
        <f t="shared" si="0"/>
        <v>30.669999999999995</v>
      </c>
      <c r="F55" s="9"/>
      <c r="G55" s="9"/>
      <c r="H55" s="77"/>
      <c r="I55" s="78"/>
      <c r="J55" s="77"/>
      <c r="K55" s="78"/>
      <c r="L55" s="77"/>
      <c r="M55" s="78"/>
      <c r="N55" s="77"/>
      <c r="O55" s="78"/>
      <c r="P55" s="75">
        <v>1.1000000000000001</v>
      </c>
      <c r="Q55" s="76">
        <v>2.1</v>
      </c>
      <c r="R55" s="77"/>
      <c r="S55" s="78"/>
      <c r="T55" s="77"/>
      <c r="U55" s="78"/>
      <c r="V55" s="77"/>
      <c r="W55" s="78"/>
      <c r="X55" s="77"/>
      <c r="Y55" s="78"/>
      <c r="Z55" s="77"/>
      <c r="AA55" s="78"/>
      <c r="AB55" s="77"/>
      <c r="AC55" s="78"/>
      <c r="AD55" s="77"/>
      <c r="AE55" s="78"/>
      <c r="AI55" s="1"/>
      <c r="AJ55" s="1"/>
      <c r="AK55" s="1"/>
      <c r="AL55" s="1"/>
      <c r="AM55" s="1"/>
      <c r="AN55" s="1"/>
      <c r="AO55" s="1"/>
      <c r="AP55" s="1"/>
    </row>
    <row r="56" spans="1:42" s="5" customFormat="1">
      <c r="A56" s="42" t="s">
        <v>122</v>
      </c>
      <c r="B56" s="6">
        <v>1.5</v>
      </c>
      <c r="C56" s="6">
        <v>1.95</v>
      </c>
      <c r="D56" s="6">
        <f t="shared" si="1"/>
        <v>6.9</v>
      </c>
      <c r="E56" s="4">
        <f t="shared" si="0"/>
        <v>23.46</v>
      </c>
      <c r="F56" s="9"/>
      <c r="G56" s="9"/>
      <c r="H56" s="77"/>
      <c r="I56" s="78"/>
      <c r="J56" s="77"/>
      <c r="K56" s="78"/>
      <c r="L56" s="77"/>
      <c r="M56" s="78"/>
      <c r="N56" s="77"/>
      <c r="O56" s="78"/>
      <c r="P56" s="77"/>
      <c r="Q56" s="78"/>
      <c r="R56" s="77"/>
      <c r="S56" s="78"/>
      <c r="T56" s="77"/>
      <c r="U56" s="78"/>
      <c r="V56" s="77"/>
      <c r="W56" s="78"/>
      <c r="X56" s="77"/>
      <c r="Y56" s="78"/>
      <c r="Z56" s="77"/>
      <c r="AA56" s="78"/>
      <c r="AB56" s="77"/>
      <c r="AC56" s="78"/>
      <c r="AD56" s="77"/>
      <c r="AE56" s="78"/>
      <c r="AI56" s="1"/>
      <c r="AJ56" s="1"/>
      <c r="AK56" s="1"/>
      <c r="AL56" s="1"/>
      <c r="AM56" s="1"/>
      <c r="AN56" s="1"/>
      <c r="AO56" s="1"/>
      <c r="AP56" s="1"/>
    </row>
    <row r="57" spans="1:42" s="5" customFormat="1">
      <c r="A57" s="42" t="s">
        <v>149</v>
      </c>
      <c r="B57" s="6">
        <v>3.78</v>
      </c>
      <c r="C57" s="6">
        <v>4.45</v>
      </c>
      <c r="D57" s="6">
        <f t="shared" si="1"/>
        <v>16.46</v>
      </c>
      <c r="E57" s="4">
        <f t="shared" si="0"/>
        <v>53.653999999999996</v>
      </c>
      <c r="F57" s="4">
        <f t="shared" si="16"/>
        <v>16.821000000000002</v>
      </c>
      <c r="G57" s="4">
        <f t="shared" si="3"/>
        <v>16.821000000000002</v>
      </c>
      <c r="H57" s="77"/>
      <c r="I57" s="78"/>
      <c r="J57" s="77"/>
      <c r="K57" s="78"/>
      <c r="L57" s="77"/>
      <c r="M57" s="78"/>
      <c r="N57" s="77"/>
      <c r="O57" s="78"/>
      <c r="P57" s="75">
        <v>1.1000000000000001</v>
      </c>
      <c r="Q57" s="76">
        <v>2.1</v>
      </c>
      <c r="R57" s="77"/>
      <c r="S57" s="78"/>
      <c r="T57" s="77"/>
      <c r="U57" s="78"/>
      <c r="V57" s="77"/>
      <c r="W57" s="78"/>
      <c r="X57" s="77"/>
      <c r="Y57" s="78"/>
      <c r="Z57" s="77"/>
      <c r="AA57" s="78"/>
      <c r="AB57" s="77"/>
      <c r="AC57" s="78"/>
      <c r="AD57" s="77"/>
      <c r="AE57" s="78"/>
      <c r="AI57" s="1"/>
      <c r="AJ57" s="1"/>
      <c r="AK57" s="1"/>
      <c r="AL57" s="1"/>
      <c r="AM57" s="1"/>
      <c r="AN57" s="1"/>
      <c r="AO57" s="1"/>
      <c r="AP57" s="1"/>
    </row>
    <row r="58" spans="1:42" s="5" customFormat="1">
      <c r="A58" s="42" t="s">
        <v>150</v>
      </c>
      <c r="B58" s="6">
        <v>7.48</v>
      </c>
      <c r="C58" s="6">
        <v>4.4000000000000004</v>
      </c>
      <c r="D58" s="6">
        <f t="shared" si="1"/>
        <v>23.76</v>
      </c>
      <c r="E58" s="4">
        <f t="shared" si="0"/>
        <v>76.374000000000009</v>
      </c>
      <c r="F58" s="43"/>
      <c r="G58" s="43"/>
      <c r="H58" s="77"/>
      <c r="I58" s="78"/>
      <c r="J58" s="77"/>
      <c r="K58" s="78"/>
      <c r="L58" s="77"/>
      <c r="M58" s="78"/>
      <c r="N58" s="77"/>
      <c r="O58" s="78"/>
      <c r="P58" s="75">
        <v>2.1</v>
      </c>
      <c r="Q58" s="76">
        <v>2.1</v>
      </c>
      <c r="R58" s="77"/>
      <c r="S58" s="78"/>
      <c r="T58" s="77"/>
      <c r="U58" s="78"/>
      <c r="V58" s="77"/>
      <c r="W58" s="78"/>
      <c r="X58" s="77"/>
      <c r="Y58" s="78"/>
      <c r="Z58" s="77"/>
      <c r="AA58" s="78"/>
      <c r="AB58" s="77"/>
      <c r="AC58" s="78"/>
      <c r="AD58" s="77"/>
      <c r="AE58" s="78"/>
      <c r="AI58" s="1"/>
      <c r="AJ58" s="1"/>
      <c r="AK58" s="1"/>
      <c r="AL58" s="1"/>
      <c r="AM58" s="1"/>
      <c r="AN58" s="1"/>
      <c r="AO58" s="1"/>
      <c r="AP58" s="1"/>
    </row>
    <row r="59" spans="1:42" s="5" customFormat="1">
      <c r="A59" s="42" t="s">
        <v>122</v>
      </c>
      <c r="B59" s="6">
        <v>0.85</v>
      </c>
      <c r="C59" s="6">
        <v>2.0499999999999998</v>
      </c>
      <c r="D59" s="6">
        <f t="shared" si="1"/>
        <v>5.8</v>
      </c>
      <c r="E59" s="4">
        <f t="shared" si="0"/>
        <v>19.72</v>
      </c>
      <c r="F59" s="9"/>
      <c r="G59" s="9"/>
      <c r="H59" s="77"/>
      <c r="I59" s="78"/>
      <c r="J59" s="77"/>
      <c r="K59" s="78"/>
      <c r="L59" s="77"/>
      <c r="M59" s="78"/>
      <c r="N59" s="77"/>
      <c r="O59" s="78"/>
      <c r="P59" s="77"/>
      <c r="Q59" s="78"/>
      <c r="R59" s="77"/>
      <c r="S59" s="78"/>
      <c r="T59" s="77"/>
      <c r="U59" s="78"/>
      <c r="V59" s="77"/>
      <c r="W59" s="78"/>
      <c r="X59" s="77"/>
      <c r="Y59" s="78"/>
      <c r="Z59" s="77"/>
      <c r="AA59" s="78"/>
      <c r="AB59" s="77"/>
      <c r="AC59" s="78"/>
      <c r="AD59" s="77"/>
      <c r="AE59" s="78"/>
      <c r="AI59" s="1"/>
      <c r="AJ59" s="1"/>
      <c r="AK59" s="1"/>
      <c r="AL59" s="1"/>
      <c r="AM59" s="1"/>
      <c r="AN59" s="1"/>
      <c r="AO59" s="1"/>
      <c r="AP59" s="1"/>
    </row>
    <row r="60" spans="1:42" s="5" customFormat="1">
      <c r="A60" s="42" t="s">
        <v>151</v>
      </c>
      <c r="B60" s="6">
        <v>2.17</v>
      </c>
      <c r="C60" s="6">
        <v>12.7</v>
      </c>
      <c r="D60" s="6">
        <f t="shared" ref="D60:D61" si="17">2*(B60+C60)</f>
        <v>29.74</v>
      </c>
      <c r="E60" s="4">
        <f t="shared" si="0"/>
        <v>97.435999999999979</v>
      </c>
      <c r="F60" s="4">
        <f t="shared" ref="F60" si="18">B60*C60</f>
        <v>27.558999999999997</v>
      </c>
      <c r="G60" s="4">
        <f t="shared" si="3"/>
        <v>27.558999999999997</v>
      </c>
      <c r="H60" s="75">
        <v>2</v>
      </c>
      <c r="I60" s="76">
        <v>1</v>
      </c>
      <c r="J60" s="77"/>
      <c r="K60" s="78"/>
      <c r="L60" s="77"/>
      <c r="M60" s="78"/>
      <c r="N60" s="77"/>
      <c r="O60" s="78"/>
      <c r="P60" s="75">
        <v>0.8</v>
      </c>
      <c r="Q60" s="76">
        <v>2.1</v>
      </c>
      <c r="R60" s="77"/>
      <c r="S60" s="78"/>
      <c r="T60" s="77"/>
      <c r="U60" s="78"/>
      <c r="V60" s="77"/>
      <c r="W60" s="78"/>
      <c r="X60" s="77"/>
      <c r="Y60" s="78"/>
      <c r="Z60" s="77"/>
      <c r="AA60" s="78"/>
      <c r="AB60" s="77"/>
      <c r="AC60" s="78"/>
      <c r="AD60" s="77"/>
      <c r="AE60" s="78"/>
      <c r="AI60" s="1"/>
      <c r="AJ60" s="1"/>
      <c r="AK60" s="1"/>
      <c r="AL60" s="1"/>
      <c r="AM60" s="1"/>
      <c r="AN60" s="1"/>
      <c r="AO60" s="1"/>
      <c r="AP60" s="1"/>
    </row>
    <row r="61" spans="1:42" s="5" customFormat="1">
      <c r="A61" s="42" t="s">
        <v>152</v>
      </c>
      <c r="B61" s="6">
        <v>6.6</v>
      </c>
      <c r="C61" s="6">
        <v>12.7</v>
      </c>
      <c r="D61" s="6">
        <f t="shared" si="17"/>
        <v>38.599999999999994</v>
      </c>
      <c r="E61" s="4">
        <f t="shared" si="0"/>
        <v>121.75999999999998</v>
      </c>
      <c r="F61" s="43"/>
      <c r="G61" s="43"/>
      <c r="H61" s="75">
        <v>2</v>
      </c>
      <c r="I61" s="76">
        <v>1</v>
      </c>
      <c r="J61" s="77"/>
      <c r="K61" s="78"/>
      <c r="L61" s="77"/>
      <c r="M61" s="78"/>
      <c r="N61" s="77"/>
      <c r="O61" s="78"/>
      <c r="P61" s="77"/>
      <c r="Q61" s="78"/>
      <c r="R61" s="77"/>
      <c r="S61" s="78"/>
      <c r="T61" s="77"/>
      <c r="U61" s="78"/>
      <c r="V61" s="77"/>
      <c r="W61" s="78"/>
      <c r="X61" s="77"/>
      <c r="Y61" s="78"/>
      <c r="Z61" s="77"/>
      <c r="AA61" s="78"/>
      <c r="AB61" s="77"/>
      <c r="AC61" s="78"/>
      <c r="AD61" s="75">
        <v>2.2000000000000002</v>
      </c>
      <c r="AE61" s="76">
        <v>3.4</v>
      </c>
      <c r="AI61" s="1"/>
      <c r="AJ61" s="1"/>
      <c r="AK61" s="1"/>
      <c r="AL61" s="1"/>
      <c r="AM61" s="1"/>
      <c r="AN61" s="1"/>
      <c r="AO61" s="1"/>
      <c r="AP61" s="1"/>
    </row>
    <row r="62" spans="1:42" s="5" customFormat="1">
      <c r="A62" s="42" t="s">
        <v>153</v>
      </c>
      <c r="B62" s="6">
        <v>2.0499999999999998</v>
      </c>
      <c r="C62" s="6">
        <v>12.7</v>
      </c>
      <c r="D62" s="6">
        <f t="shared" ref="D62" si="19">2*(B62+C62)</f>
        <v>29.5</v>
      </c>
      <c r="E62" s="4">
        <f t="shared" si="0"/>
        <v>93.99</v>
      </c>
      <c r="F62" s="4">
        <f t="shared" ref="F62" si="20">B62*C62</f>
        <v>26.034999999999997</v>
      </c>
      <c r="G62" s="4">
        <f t="shared" si="3"/>
        <v>26.034999999999997</v>
      </c>
      <c r="H62" s="75">
        <v>2</v>
      </c>
      <c r="I62" s="76">
        <v>1</v>
      </c>
      <c r="J62" s="75">
        <v>2</v>
      </c>
      <c r="K62" s="76">
        <v>1</v>
      </c>
      <c r="L62" s="77"/>
      <c r="M62" s="78"/>
      <c r="N62" s="77"/>
      <c r="O62" s="78"/>
      <c r="P62" s="75">
        <v>1.1000000000000001</v>
      </c>
      <c r="Q62" s="76">
        <v>2.1</v>
      </c>
      <c r="R62" s="77"/>
      <c r="S62" s="78"/>
      <c r="T62" s="77"/>
      <c r="U62" s="78"/>
      <c r="V62" s="77"/>
      <c r="W62" s="78"/>
      <c r="X62" s="77"/>
      <c r="Y62" s="78"/>
      <c r="Z62" s="77"/>
      <c r="AA62" s="78"/>
      <c r="AB62" s="77"/>
      <c r="AC62" s="78"/>
      <c r="AD62" s="77"/>
      <c r="AE62" s="78"/>
      <c r="AI62" s="1"/>
      <c r="AJ62" s="1"/>
      <c r="AK62" s="1"/>
      <c r="AL62" s="1"/>
      <c r="AM62" s="1"/>
      <c r="AN62" s="1"/>
      <c r="AO62" s="1"/>
      <c r="AP62" s="1"/>
    </row>
    <row r="63" spans="1:42"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</row>
    <row r="64" spans="1:42" s="5" customFormat="1">
      <c r="A64" s="44" t="s">
        <v>24</v>
      </c>
      <c r="B64" s="9"/>
      <c r="C64" s="9"/>
      <c r="D64" s="6">
        <v>178.37</v>
      </c>
      <c r="E64" s="4">
        <f>(D64*$A$2)-((H64*I64)+(J64*K64)+(L64*M64)+(N64*O64)+(P64*Q64)+(R64*S64)+(T64*U64)+(V64*W64)+(X64*Y64)+(Z64*AA64)+(AB64*AC64)+(AD64*AE64))</f>
        <v>460.91549999999995</v>
      </c>
      <c r="F64" s="9"/>
      <c r="G64" s="9"/>
      <c r="H64" s="75">
        <f>7*2</f>
        <v>14</v>
      </c>
      <c r="I64" s="76">
        <v>1</v>
      </c>
      <c r="J64" s="75">
        <f>2*2.2</f>
        <v>4.4000000000000004</v>
      </c>
      <c r="K64" s="76">
        <v>1</v>
      </c>
      <c r="L64" s="75">
        <f>3*1</f>
        <v>3</v>
      </c>
      <c r="M64" s="76">
        <v>0.8</v>
      </c>
      <c r="N64" s="75">
        <f>2.75+3+5+13.9+4.15+7.1+3.35+11.55</f>
        <v>50.8</v>
      </c>
      <c r="O64" s="76">
        <v>1</v>
      </c>
      <c r="P64" s="75">
        <f>2*2.1</f>
        <v>4.2</v>
      </c>
      <c r="Q64" s="76">
        <v>2.1</v>
      </c>
      <c r="R64" s="75">
        <v>5</v>
      </c>
      <c r="S64" s="76">
        <v>2.65</v>
      </c>
      <c r="T64" s="75">
        <v>4.8</v>
      </c>
      <c r="U64" s="76">
        <v>2.65</v>
      </c>
      <c r="V64" s="75">
        <v>0.8</v>
      </c>
      <c r="W64" s="76">
        <v>2.1</v>
      </c>
      <c r="X64" s="75">
        <v>7.75</v>
      </c>
      <c r="Y64" s="76">
        <v>2.95</v>
      </c>
      <c r="Z64" s="75">
        <v>1.05</v>
      </c>
      <c r="AA64" s="76">
        <v>1.8</v>
      </c>
      <c r="AB64" s="75">
        <v>4.8</v>
      </c>
      <c r="AC64" s="76">
        <v>2.65</v>
      </c>
      <c r="AD64" s="77"/>
      <c r="AE64" s="78"/>
    </row>
    <row r="65" spans="1:31" s="5" customFormat="1">
      <c r="A65" s="44" t="s">
        <v>25</v>
      </c>
      <c r="B65" s="9"/>
      <c r="C65" s="9"/>
      <c r="D65" s="9"/>
      <c r="E65" s="9"/>
      <c r="F65" s="9"/>
      <c r="G65" s="9"/>
      <c r="H65" s="86"/>
      <c r="I65" s="87"/>
      <c r="J65" s="86"/>
      <c r="K65" s="87"/>
      <c r="L65" s="86"/>
      <c r="M65" s="87"/>
      <c r="N65" s="86"/>
      <c r="O65" s="87"/>
      <c r="P65" s="86"/>
      <c r="Q65" s="87"/>
      <c r="R65" s="86"/>
      <c r="S65" s="87"/>
      <c r="T65" s="86"/>
      <c r="U65" s="87"/>
      <c r="V65" s="86"/>
      <c r="W65" s="87"/>
      <c r="X65" s="86"/>
      <c r="Y65" s="87"/>
      <c r="Z65" s="86"/>
      <c r="AA65" s="87"/>
      <c r="AB65" s="86"/>
      <c r="AC65" s="87"/>
      <c r="AD65" s="86"/>
      <c r="AE65" s="87"/>
    </row>
    <row r="68" spans="1:31">
      <c r="E68" s="39"/>
    </row>
    <row r="69" spans="1:31">
      <c r="E69" s="39"/>
    </row>
  </sheetData>
  <mergeCells count="13">
    <mergeCell ref="AB2:AC2"/>
    <mergeCell ref="AD2:AE2"/>
    <mergeCell ref="H1:AE1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10">
    <tabColor rgb="FF00FF00"/>
  </sheetPr>
  <dimension ref="A1:AN64"/>
  <sheetViews>
    <sheetView view="pageBreakPreview" zoomScale="60" zoomScaleNormal="85" workbookViewId="0">
      <selection activeCell="A64" sqref="A64:XFD64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358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8" t="s">
        <v>111</v>
      </c>
      <c r="B5" s="9"/>
      <c r="C5" s="9"/>
      <c r="D5" s="6">
        <v>32.799999999999997</v>
      </c>
      <c r="E5" s="4">
        <f>(D5*$A$3)-((F5*G5)+(H5*I5)+(J5*K5)+(L5*M5)+(N5*O5)+(P5*Q5)+(R5*S5)+(T5*U5)+(V5*W5)+(X5*Y5)+(Z5*AA5)+(AB5*AC5))</f>
        <v>96.609999999999985</v>
      </c>
      <c r="F5" s="75">
        <v>11.55</v>
      </c>
      <c r="G5" s="76">
        <v>1</v>
      </c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5">
        <v>0.8</v>
      </c>
      <c r="Q5" s="76">
        <v>2.1</v>
      </c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58" t="s">
        <v>112</v>
      </c>
      <c r="B6" s="6">
        <v>2</v>
      </c>
      <c r="C6" s="6">
        <v>2</v>
      </c>
      <c r="D6" s="6">
        <f t="shared" ref="D6:D46" si="0">2*(B6+C6)</f>
        <v>8</v>
      </c>
      <c r="E6" s="4">
        <f t="shared" ref="E6:E46" si="1">(D6*$A$3)-((F6*G6)+(H6*I6)+(J6*K6)+(L6*M6)+(N6*O6)+(P6*Q6)+(R6*S6)+(T6*U6)+(V6*W6)+(X6*Y6)+(Z6*AA6)+(AB6*AC6))</f>
        <v>25.52</v>
      </c>
      <c r="F6" s="77"/>
      <c r="G6" s="78"/>
      <c r="H6" s="77"/>
      <c r="I6" s="78"/>
      <c r="J6" s="77"/>
      <c r="K6" s="78"/>
      <c r="L6" s="77"/>
      <c r="M6" s="78"/>
      <c r="N6" s="75">
        <v>0.8</v>
      </c>
      <c r="O6" s="76">
        <v>2.1</v>
      </c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G6" s="1"/>
      <c r="AH6" s="1"/>
      <c r="AK6" s="1"/>
      <c r="AL6" s="1"/>
    </row>
    <row r="7" spans="1:40">
      <c r="A7" s="58" t="s">
        <v>113</v>
      </c>
      <c r="B7" s="6">
        <v>2</v>
      </c>
      <c r="C7" s="6">
        <v>1.6</v>
      </c>
      <c r="D7" s="6">
        <f t="shared" si="0"/>
        <v>7.2</v>
      </c>
      <c r="E7" s="4">
        <f t="shared" si="1"/>
        <v>22.8</v>
      </c>
      <c r="F7" s="77"/>
      <c r="G7" s="78"/>
      <c r="H7" s="77"/>
      <c r="I7" s="78"/>
      <c r="J7" s="77"/>
      <c r="K7" s="78"/>
      <c r="L7" s="77"/>
      <c r="M7" s="78"/>
      <c r="N7" s="75">
        <v>0.8</v>
      </c>
      <c r="O7" s="76">
        <v>2.1</v>
      </c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58" t="s">
        <v>141</v>
      </c>
      <c r="B8" s="6">
        <v>7.05</v>
      </c>
      <c r="C8" s="6">
        <v>5.32</v>
      </c>
      <c r="D8" s="6">
        <f t="shared" si="0"/>
        <v>24.740000000000002</v>
      </c>
      <c r="E8" s="4">
        <f t="shared" si="1"/>
        <v>80.435999999999993</v>
      </c>
      <c r="F8" s="75">
        <v>2</v>
      </c>
      <c r="G8" s="76">
        <v>1</v>
      </c>
      <c r="H8" s="77"/>
      <c r="I8" s="78"/>
      <c r="J8" s="77"/>
      <c r="K8" s="78"/>
      <c r="L8" s="77"/>
      <c r="M8" s="78"/>
      <c r="N8" s="75">
        <v>0.8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9" spans="1:40">
      <c r="A9" s="58" t="s">
        <v>142</v>
      </c>
      <c r="B9" s="6">
        <v>4.5</v>
      </c>
      <c r="C9" s="6">
        <v>3.3</v>
      </c>
      <c r="D9" s="6">
        <f t="shared" si="0"/>
        <v>15.6</v>
      </c>
      <c r="E9" s="4">
        <f t="shared" si="1"/>
        <v>46.96</v>
      </c>
      <c r="F9" s="75">
        <v>2</v>
      </c>
      <c r="G9" s="76">
        <v>1</v>
      </c>
      <c r="H9" s="77"/>
      <c r="I9" s="78"/>
      <c r="J9" s="77"/>
      <c r="K9" s="78"/>
      <c r="L9" s="77"/>
      <c r="M9" s="78"/>
      <c r="N9" s="75">
        <v>0.8</v>
      </c>
      <c r="O9" s="76">
        <v>2.1</v>
      </c>
      <c r="P9" s="75">
        <v>0.8</v>
      </c>
      <c r="Q9" s="76">
        <v>2.1</v>
      </c>
      <c r="R9" s="77"/>
      <c r="S9" s="78"/>
      <c r="T9" s="77"/>
      <c r="U9" s="78"/>
      <c r="V9" s="77"/>
      <c r="W9" s="78"/>
      <c r="X9" s="77"/>
      <c r="Y9" s="78"/>
      <c r="Z9" s="75">
        <v>1.2</v>
      </c>
      <c r="AA9" s="76">
        <v>0.6</v>
      </c>
      <c r="AB9" s="77"/>
      <c r="AC9" s="78"/>
      <c r="AG9" s="1"/>
      <c r="AH9" s="1"/>
      <c r="AI9" s="1"/>
      <c r="AJ9" s="1"/>
      <c r="AK9" s="1"/>
      <c r="AL9" s="1"/>
      <c r="AM9" s="1"/>
      <c r="AN9" s="1"/>
    </row>
    <row r="10" spans="1:40">
      <c r="A10" s="58" t="s">
        <v>115</v>
      </c>
      <c r="B10" s="6">
        <v>4.55</v>
      </c>
      <c r="C10" s="6">
        <v>3.3</v>
      </c>
      <c r="D10" s="6">
        <f t="shared" si="0"/>
        <v>15.7</v>
      </c>
      <c r="E10" s="4">
        <f t="shared" si="1"/>
        <v>51.699999999999996</v>
      </c>
      <c r="F10" s="77"/>
      <c r="G10" s="78"/>
      <c r="H10" s="77"/>
      <c r="I10" s="78"/>
      <c r="J10" s="77"/>
      <c r="K10" s="78"/>
      <c r="L10" s="77"/>
      <c r="M10" s="78"/>
      <c r="N10" s="75">
        <v>0.8</v>
      </c>
      <c r="O10" s="76">
        <v>2.1</v>
      </c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G10" s="1"/>
      <c r="AH10" s="1"/>
      <c r="AI10" s="1"/>
      <c r="AJ10" s="1"/>
      <c r="AK10" s="1"/>
      <c r="AL10" s="1"/>
      <c r="AM10" s="1"/>
      <c r="AN10" s="1"/>
    </row>
    <row r="11" spans="1:40">
      <c r="A11" s="58" t="s">
        <v>116</v>
      </c>
      <c r="B11" s="6">
        <v>3.9</v>
      </c>
      <c r="C11" s="6">
        <v>2.95</v>
      </c>
      <c r="D11" s="6">
        <f t="shared" si="0"/>
        <v>13.7</v>
      </c>
      <c r="E11" s="4">
        <f t="shared" si="1"/>
        <v>44.269999999999996</v>
      </c>
      <c r="F11" s="77"/>
      <c r="G11" s="78"/>
      <c r="H11" s="77"/>
      <c r="I11" s="78"/>
      <c r="J11" s="77"/>
      <c r="K11" s="78"/>
      <c r="L11" s="77"/>
      <c r="M11" s="78"/>
      <c r="N11" s="75">
        <v>1.1000000000000001</v>
      </c>
      <c r="O11" s="76">
        <v>2.1</v>
      </c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G11" s="1"/>
      <c r="AH11" s="1"/>
      <c r="AI11" s="1"/>
      <c r="AJ11" s="1"/>
      <c r="AK11" s="1"/>
      <c r="AL11" s="1"/>
      <c r="AM11" s="1"/>
      <c r="AN11" s="1"/>
    </row>
    <row r="12" spans="1:40">
      <c r="A12" s="58" t="s">
        <v>120</v>
      </c>
      <c r="B12" s="6">
        <v>1.8</v>
      </c>
      <c r="C12" s="6">
        <v>2.95</v>
      </c>
      <c r="D12" s="6">
        <f t="shared" si="0"/>
        <v>9.5</v>
      </c>
      <c r="E12" s="4">
        <f t="shared" si="1"/>
        <v>30.619999999999997</v>
      </c>
      <c r="F12" s="77"/>
      <c r="G12" s="78"/>
      <c r="H12" s="77"/>
      <c r="I12" s="78"/>
      <c r="J12" s="77"/>
      <c r="K12" s="78"/>
      <c r="L12" s="77"/>
      <c r="M12" s="78"/>
      <c r="N12" s="75">
        <v>0.8</v>
      </c>
      <c r="O12" s="76">
        <v>2.1</v>
      </c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G12" s="1"/>
      <c r="AH12" s="1"/>
      <c r="AI12" s="1"/>
      <c r="AJ12" s="1"/>
      <c r="AK12" s="1"/>
      <c r="AL12" s="1"/>
      <c r="AM12" s="1"/>
      <c r="AN12" s="1"/>
    </row>
    <row r="13" spans="1:40">
      <c r="A13" s="58" t="s">
        <v>121</v>
      </c>
      <c r="B13" s="6">
        <v>2.0499999999999998</v>
      </c>
      <c r="C13" s="6">
        <v>2.95</v>
      </c>
      <c r="D13" s="6">
        <f t="shared" si="0"/>
        <v>10</v>
      </c>
      <c r="E13" s="4">
        <f t="shared" si="1"/>
        <v>32.32</v>
      </c>
      <c r="F13" s="77"/>
      <c r="G13" s="78"/>
      <c r="H13" s="77"/>
      <c r="I13" s="78"/>
      <c r="J13" s="77"/>
      <c r="K13" s="78"/>
      <c r="L13" s="77"/>
      <c r="M13" s="78"/>
      <c r="N13" s="75">
        <v>0.8</v>
      </c>
      <c r="O13" s="76">
        <v>2.1</v>
      </c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G13" s="1"/>
      <c r="AH13" s="1"/>
      <c r="AI13" s="1"/>
      <c r="AJ13" s="1"/>
      <c r="AK13" s="1"/>
      <c r="AL13" s="1"/>
      <c r="AM13" s="1"/>
      <c r="AN13" s="1"/>
    </row>
    <row r="14" spans="1:40">
      <c r="A14" s="58" t="s">
        <v>122</v>
      </c>
      <c r="B14" s="6">
        <v>0.4</v>
      </c>
      <c r="C14" s="6">
        <v>3.55</v>
      </c>
      <c r="D14" s="6">
        <f t="shared" si="0"/>
        <v>7.8999999999999995</v>
      </c>
      <c r="E14" s="4">
        <f t="shared" si="1"/>
        <v>26.859999999999996</v>
      </c>
      <c r="F14" s="77"/>
      <c r="G14" s="78"/>
      <c r="H14" s="77"/>
      <c r="I14" s="78"/>
      <c r="J14" s="77"/>
      <c r="K14" s="78"/>
      <c r="L14" s="77"/>
      <c r="M14" s="78"/>
      <c r="N14" s="77"/>
      <c r="O14" s="78"/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G14" s="1"/>
      <c r="AH14" s="1"/>
      <c r="AI14" s="1"/>
      <c r="AJ14" s="1"/>
      <c r="AK14" s="1"/>
      <c r="AL14" s="1"/>
      <c r="AM14" s="1"/>
      <c r="AN14" s="1"/>
    </row>
    <row r="15" spans="1:40">
      <c r="A15" s="58" t="s">
        <v>123</v>
      </c>
      <c r="B15" s="6">
        <v>3.35</v>
      </c>
      <c r="C15" s="6">
        <v>2.95</v>
      </c>
      <c r="D15" s="6">
        <f t="shared" si="0"/>
        <v>12.600000000000001</v>
      </c>
      <c r="E15" s="4">
        <f t="shared" si="1"/>
        <v>37.81</v>
      </c>
      <c r="F15" s="75">
        <v>3.35</v>
      </c>
      <c r="G15" s="76">
        <v>1</v>
      </c>
      <c r="H15" s="77"/>
      <c r="I15" s="78"/>
      <c r="J15" s="77"/>
      <c r="K15" s="78"/>
      <c r="L15" s="77"/>
      <c r="M15" s="78"/>
      <c r="N15" s="75">
        <v>0.8</v>
      </c>
      <c r="O15" s="76">
        <v>2.1</v>
      </c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G15" s="1"/>
      <c r="AH15" s="1"/>
      <c r="AI15" s="1"/>
      <c r="AJ15" s="1"/>
      <c r="AK15" s="1"/>
      <c r="AL15" s="1"/>
      <c r="AM15" s="1"/>
      <c r="AN15" s="1"/>
    </row>
    <row r="16" spans="1:40">
      <c r="A16" s="58" t="s">
        <v>108</v>
      </c>
      <c r="B16" s="6">
        <v>1.65</v>
      </c>
      <c r="C16" s="6">
        <v>1.89</v>
      </c>
      <c r="D16" s="6">
        <f t="shared" si="0"/>
        <v>7.08</v>
      </c>
      <c r="E16" s="4">
        <f t="shared" si="1"/>
        <v>20.963999999999999</v>
      </c>
      <c r="F16" s="77"/>
      <c r="G16" s="78"/>
      <c r="H16" s="77"/>
      <c r="I16" s="78"/>
      <c r="J16" s="77"/>
      <c r="K16" s="78"/>
      <c r="L16" s="77"/>
      <c r="M16" s="78"/>
      <c r="N16" s="75">
        <v>1.48</v>
      </c>
      <c r="O16" s="76">
        <v>2.1</v>
      </c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G16" s="1"/>
      <c r="AH16" s="1"/>
      <c r="AI16" s="1"/>
      <c r="AJ16" s="1"/>
      <c r="AK16" s="1"/>
      <c r="AL16" s="1"/>
      <c r="AM16" s="1"/>
      <c r="AN16" s="1"/>
    </row>
    <row r="17" spans="1:40">
      <c r="A17" s="58" t="s">
        <v>109</v>
      </c>
      <c r="B17" s="6">
        <v>1.65</v>
      </c>
      <c r="C17" s="6">
        <v>1.93</v>
      </c>
      <c r="D17" s="6">
        <f t="shared" si="0"/>
        <v>7.16</v>
      </c>
      <c r="E17" s="4">
        <f t="shared" si="1"/>
        <v>21.236000000000001</v>
      </c>
      <c r="F17" s="77"/>
      <c r="G17" s="78"/>
      <c r="H17" s="77"/>
      <c r="I17" s="78"/>
      <c r="J17" s="77"/>
      <c r="K17" s="78"/>
      <c r="L17" s="77"/>
      <c r="M17" s="78"/>
      <c r="N17" s="75">
        <v>1.48</v>
      </c>
      <c r="O17" s="76">
        <v>2.1</v>
      </c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G17" s="1"/>
      <c r="AH17" s="1"/>
      <c r="AI17" s="1"/>
      <c r="AJ17" s="1"/>
      <c r="AK17" s="1"/>
      <c r="AL17" s="1"/>
      <c r="AM17" s="1"/>
      <c r="AN17" s="1"/>
    </row>
    <row r="18" spans="1:40">
      <c r="A18" s="58" t="s">
        <v>124</v>
      </c>
      <c r="B18" s="6">
        <v>5.0999999999999996</v>
      </c>
      <c r="C18" s="6">
        <v>4.0199999999999996</v>
      </c>
      <c r="D18" s="6">
        <f t="shared" si="0"/>
        <v>18.239999999999998</v>
      </c>
      <c r="E18" s="4">
        <f t="shared" si="1"/>
        <v>44.609999999999985</v>
      </c>
      <c r="F18" s="75">
        <v>5.0999999999999996</v>
      </c>
      <c r="G18" s="76">
        <v>1</v>
      </c>
      <c r="H18" s="77"/>
      <c r="I18" s="78"/>
      <c r="J18" s="77"/>
      <c r="K18" s="78"/>
      <c r="L18" s="77"/>
      <c r="M18" s="78"/>
      <c r="N18" s="75">
        <v>1.48</v>
      </c>
      <c r="O18" s="76">
        <v>2.1</v>
      </c>
      <c r="P18" s="75">
        <v>1.48</v>
      </c>
      <c r="Q18" s="76">
        <v>2.1</v>
      </c>
      <c r="R18" s="75">
        <v>2.1</v>
      </c>
      <c r="S18" s="76">
        <v>2.1</v>
      </c>
      <c r="T18" s="75">
        <v>0.8</v>
      </c>
      <c r="U18" s="76">
        <v>2.1</v>
      </c>
      <c r="V18" s="77"/>
      <c r="W18" s="78"/>
      <c r="X18" s="77"/>
      <c r="Y18" s="78"/>
      <c r="Z18" s="77"/>
      <c r="AA18" s="78"/>
      <c r="AB18" s="77"/>
      <c r="AC18" s="78"/>
      <c r="AG18" s="1"/>
      <c r="AH18" s="1"/>
      <c r="AI18" s="1"/>
      <c r="AJ18" s="1"/>
      <c r="AK18" s="1"/>
      <c r="AL18" s="1"/>
      <c r="AM18" s="1"/>
      <c r="AN18" s="1"/>
    </row>
    <row r="19" spans="1:40">
      <c r="A19" s="58" t="s">
        <v>125</v>
      </c>
      <c r="B19" s="6">
        <v>2.5</v>
      </c>
      <c r="C19" s="6">
        <v>4.42</v>
      </c>
      <c r="D19" s="6">
        <f t="shared" si="0"/>
        <v>13.84</v>
      </c>
      <c r="E19" s="4">
        <f t="shared" si="1"/>
        <v>45.375999999999998</v>
      </c>
      <c r="F19" s="77"/>
      <c r="G19" s="78"/>
      <c r="H19" s="77"/>
      <c r="I19" s="78"/>
      <c r="J19" s="77"/>
      <c r="K19" s="78"/>
      <c r="L19" s="77"/>
      <c r="M19" s="78"/>
      <c r="N19" s="75">
        <v>0.8</v>
      </c>
      <c r="O19" s="76">
        <v>2.1</v>
      </c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G19" s="1"/>
      <c r="AH19" s="1"/>
      <c r="AI19" s="1"/>
      <c r="AJ19" s="1"/>
      <c r="AK19" s="1"/>
      <c r="AL19" s="1"/>
      <c r="AM19" s="1"/>
      <c r="AN19" s="1"/>
    </row>
    <row r="20" spans="1:40">
      <c r="A20" s="58" t="s">
        <v>127</v>
      </c>
      <c r="B20" s="6">
        <v>2.5499999999999998</v>
      </c>
      <c r="C20" s="6">
        <v>4.42</v>
      </c>
      <c r="D20" s="6">
        <f t="shared" si="0"/>
        <v>13.94</v>
      </c>
      <c r="E20" s="4">
        <f t="shared" si="1"/>
        <v>45.715999999999994</v>
      </c>
      <c r="F20" s="77"/>
      <c r="G20" s="78"/>
      <c r="H20" s="77"/>
      <c r="I20" s="78"/>
      <c r="J20" s="77"/>
      <c r="K20" s="78"/>
      <c r="L20" s="77"/>
      <c r="M20" s="78"/>
      <c r="N20" s="75">
        <v>0.8</v>
      </c>
      <c r="O20" s="76">
        <v>2.1</v>
      </c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G20" s="1"/>
      <c r="AH20" s="1"/>
      <c r="AI20" s="1"/>
      <c r="AJ20" s="1"/>
      <c r="AK20" s="1"/>
      <c r="AL20" s="1"/>
      <c r="AM20" s="1"/>
      <c r="AN20" s="1"/>
    </row>
    <row r="21" spans="1:40">
      <c r="A21" s="58" t="s">
        <v>129</v>
      </c>
      <c r="B21" s="9"/>
      <c r="C21" s="9"/>
      <c r="D21" s="6">
        <v>21.4</v>
      </c>
      <c r="E21" s="4">
        <f t="shared" si="1"/>
        <v>65.079999999999984</v>
      </c>
      <c r="F21" s="75">
        <v>4.1500000000000004</v>
      </c>
      <c r="G21" s="76">
        <v>1</v>
      </c>
      <c r="H21" s="75">
        <v>1.85</v>
      </c>
      <c r="I21" s="76">
        <v>1</v>
      </c>
      <c r="J21" s="77"/>
      <c r="K21" s="78"/>
      <c r="L21" s="77"/>
      <c r="M21" s="78"/>
      <c r="N21" s="75">
        <v>0.8</v>
      </c>
      <c r="O21" s="76">
        <v>2.1</v>
      </c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  <c r="AG21" s="1"/>
      <c r="AH21" s="1"/>
      <c r="AI21" s="1"/>
      <c r="AJ21" s="1"/>
      <c r="AK21" s="1"/>
      <c r="AL21" s="1"/>
      <c r="AM21" s="1"/>
      <c r="AN21" s="1"/>
    </row>
    <row r="22" spans="1:40">
      <c r="A22" s="58" t="s">
        <v>130</v>
      </c>
      <c r="B22" s="6">
        <v>2.5499999999999998</v>
      </c>
      <c r="C22" s="6">
        <v>4.9000000000000004</v>
      </c>
      <c r="D22" s="6">
        <f t="shared" ref="D22:D23" si="2">2*(B22+C22)</f>
        <v>14.9</v>
      </c>
      <c r="E22" s="4">
        <f t="shared" si="1"/>
        <v>45.589999999999996</v>
      </c>
      <c r="F22" s="75">
        <v>1.5</v>
      </c>
      <c r="G22" s="76">
        <v>1</v>
      </c>
      <c r="H22" s="77"/>
      <c r="I22" s="78"/>
      <c r="J22" s="77"/>
      <c r="K22" s="78"/>
      <c r="L22" s="77"/>
      <c r="M22" s="78"/>
      <c r="N22" s="75">
        <v>0.8</v>
      </c>
      <c r="O22" s="76">
        <v>2.1</v>
      </c>
      <c r="P22" s="75">
        <v>0.9</v>
      </c>
      <c r="Q22" s="76">
        <v>2.1</v>
      </c>
      <c r="R22" s="77"/>
      <c r="S22" s="78"/>
      <c r="T22" s="77"/>
      <c r="U22" s="78"/>
      <c r="V22" s="77"/>
      <c r="W22" s="78"/>
      <c r="X22" s="77"/>
      <c r="Y22" s="78"/>
      <c r="Z22" s="77"/>
      <c r="AA22" s="78"/>
      <c r="AB22" s="77"/>
      <c r="AC22" s="78"/>
      <c r="AG22" s="1"/>
      <c r="AH22" s="1"/>
      <c r="AI22" s="1"/>
      <c r="AJ22" s="1"/>
      <c r="AK22" s="1"/>
      <c r="AL22" s="1"/>
      <c r="AM22" s="1"/>
      <c r="AN22" s="1"/>
    </row>
    <row r="23" spans="1:40">
      <c r="A23" s="58" t="s">
        <v>144</v>
      </c>
      <c r="B23" s="6">
        <v>2.5499999999999998</v>
      </c>
      <c r="C23" s="6">
        <v>4.9000000000000004</v>
      </c>
      <c r="D23" s="6">
        <f t="shared" si="2"/>
        <v>14.9</v>
      </c>
      <c r="E23" s="4">
        <f t="shared" si="1"/>
        <v>46.429999999999993</v>
      </c>
      <c r="F23" s="75">
        <v>2.5499999999999998</v>
      </c>
      <c r="G23" s="76">
        <v>1</v>
      </c>
      <c r="H23" s="77"/>
      <c r="I23" s="78"/>
      <c r="J23" s="77"/>
      <c r="K23" s="78"/>
      <c r="L23" s="77"/>
      <c r="M23" s="78"/>
      <c r="N23" s="75">
        <v>0.8</v>
      </c>
      <c r="O23" s="76">
        <v>2.1</v>
      </c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  <c r="AB23" s="77"/>
      <c r="AC23" s="78"/>
      <c r="AG23" s="1"/>
      <c r="AH23" s="1"/>
      <c r="AI23" s="1"/>
      <c r="AJ23" s="1"/>
      <c r="AK23" s="1"/>
      <c r="AL23" s="1"/>
      <c r="AM23" s="1"/>
      <c r="AN23" s="1"/>
    </row>
    <row r="24" spans="1:40">
      <c r="A24" s="58" t="s">
        <v>131</v>
      </c>
      <c r="B24" s="9"/>
      <c r="C24" s="9"/>
      <c r="D24" s="6">
        <v>14.9</v>
      </c>
      <c r="E24" s="4">
        <f t="shared" si="1"/>
        <v>46.429999999999993</v>
      </c>
      <c r="F24" s="75">
        <v>2.5499999999999998</v>
      </c>
      <c r="G24" s="76">
        <v>1</v>
      </c>
      <c r="H24" s="77"/>
      <c r="I24" s="78"/>
      <c r="J24" s="77"/>
      <c r="K24" s="78"/>
      <c r="L24" s="77"/>
      <c r="M24" s="78"/>
      <c r="N24" s="75">
        <v>0.8</v>
      </c>
      <c r="O24" s="76">
        <v>2.1</v>
      </c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  <c r="AG24" s="1"/>
      <c r="AH24" s="1"/>
      <c r="AI24" s="1"/>
      <c r="AJ24" s="1"/>
      <c r="AK24" s="1"/>
      <c r="AL24" s="1"/>
      <c r="AM24" s="1"/>
      <c r="AN24" s="1"/>
    </row>
    <row r="25" spans="1:40">
      <c r="A25" s="58" t="s">
        <v>132</v>
      </c>
      <c r="B25" s="6">
        <v>2.2999999999999998</v>
      </c>
      <c r="C25" s="6">
        <v>2.2000000000000002</v>
      </c>
      <c r="D25" s="6">
        <f t="shared" ref="D25:D27" si="3">2*(B25+C25)</f>
        <v>9</v>
      </c>
      <c r="E25" s="4">
        <f t="shared" si="1"/>
        <v>28.919999999999998</v>
      </c>
      <c r="F25" s="77"/>
      <c r="G25" s="78"/>
      <c r="H25" s="77"/>
      <c r="I25" s="78"/>
      <c r="J25" s="77"/>
      <c r="K25" s="78"/>
      <c r="L25" s="77"/>
      <c r="M25" s="78"/>
      <c r="N25" s="75">
        <v>0.8</v>
      </c>
      <c r="O25" s="76">
        <v>2.1</v>
      </c>
      <c r="P25" s="77"/>
      <c r="Q25" s="78"/>
      <c r="R25" s="77"/>
      <c r="S25" s="78"/>
      <c r="T25" s="77"/>
      <c r="U25" s="78"/>
      <c r="V25" s="77"/>
      <c r="W25" s="78"/>
      <c r="X25" s="77"/>
      <c r="Y25" s="78"/>
      <c r="Z25" s="77"/>
      <c r="AA25" s="78"/>
      <c r="AB25" s="77"/>
      <c r="AC25" s="78"/>
      <c r="AG25" s="1"/>
      <c r="AH25" s="1"/>
      <c r="AI25" s="1"/>
      <c r="AJ25" s="1"/>
      <c r="AK25" s="1"/>
      <c r="AL25" s="1"/>
      <c r="AM25" s="1"/>
      <c r="AN25" s="1"/>
    </row>
    <row r="26" spans="1:40">
      <c r="A26" s="58" t="s">
        <v>133</v>
      </c>
      <c r="B26" s="6">
        <v>5.15</v>
      </c>
      <c r="C26" s="6">
        <v>2.2000000000000002</v>
      </c>
      <c r="D26" s="6">
        <f t="shared" si="3"/>
        <v>14.700000000000001</v>
      </c>
      <c r="E26" s="4">
        <f t="shared" si="1"/>
        <v>46.620000000000005</v>
      </c>
      <c r="F26" s="77"/>
      <c r="G26" s="78"/>
      <c r="H26" s="77"/>
      <c r="I26" s="78"/>
      <c r="J26" s="77"/>
      <c r="K26" s="78"/>
      <c r="L26" s="77"/>
      <c r="M26" s="78"/>
      <c r="N26" s="75">
        <v>0.8</v>
      </c>
      <c r="O26" s="76">
        <v>2.1</v>
      </c>
      <c r="P26" s="75">
        <v>0.8</v>
      </c>
      <c r="Q26" s="76">
        <v>2.1</v>
      </c>
      <c r="R26" s="77"/>
      <c r="S26" s="78"/>
      <c r="T26" s="77"/>
      <c r="U26" s="78"/>
      <c r="V26" s="77"/>
      <c r="W26" s="78"/>
      <c r="X26" s="77"/>
      <c r="Y26" s="78"/>
      <c r="Z26" s="77"/>
      <c r="AA26" s="78"/>
      <c r="AB26" s="77"/>
      <c r="AC26" s="78"/>
      <c r="AG26" s="1"/>
      <c r="AH26" s="1"/>
      <c r="AI26" s="1"/>
      <c r="AJ26" s="1"/>
      <c r="AK26" s="1"/>
      <c r="AL26" s="1"/>
      <c r="AM26" s="1"/>
      <c r="AN26" s="1"/>
    </row>
    <row r="27" spans="1:40">
      <c r="A27" s="58" t="s">
        <v>135</v>
      </c>
      <c r="B27" s="6">
        <v>4.75</v>
      </c>
      <c r="C27" s="6">
        <v>1.89</v>
      </c>
      <c r="D27" s="6">
        <f t="shared" si="3"/>
        <v>13.28</v>
      </c>
      <c r="E27" s="4">
        <f t="shared" si="1"/>
        <v>33.811999999999991</v>
      </c>
      <c r="F27" s="77"/>
      <c r="G27" s="78"/>
      <c r="H27" s="77"/>
      <c r="I27" s="78"/>
      <c r="J27" s="77"/>
      <c r="K27" s="78"/>
      <c r="L27" s="77"/>
      <c r="M27" s="78"/>
      <c r="N27" s="75">
        <v>0.8</v>
      </c>
      <c r="O27" s="76">
        <v>2.1</v>
      </c>
      <c r="P27" s="75">
        <v>0.8</v>
      </c>
      <c r="Q27" s="76">
        <v>2.1</v>
      </c>
      <c r="R27" s="75">
        <v>0.8</v>
      </c>
      <c r="S27" s="76">
        <v>2.1</v>
      </c>
      <c r="T27" s="75">
        <v>0.9</v>
      </c>
      <c r="U27" s="76">
        <v>2.1</v>
      </c>
      <c r="V27" s="75">
        <v>0.9</v>
      </c>
      <c r="W27" s="76">
        <v>2.1</v>
      </c>
      <c r="X27" s="77"/>
      <c r="Y27" s="78"/>
      <c r="Z27" s="77"/>
      <c r="AA27" s="78"/>
      <c r="AB27" s="75">
        <v>1.2</v>
      </c>
      <c r="AC27" s="76">
        <v>2.1</v>
      </c>
      <c r="AG27" s="1"/>
      <c r="AH27" s="1"/>
      <c r="AI27" s="1"/>
      <c r="AJ27" s="1"/>
      <c r="AK27" s="1"/>
      <c r="AL27" s="1"/>
      <c r="AM27" s="1"/>
      <c r="AN27" s="1"/>
    </row>
    <row r="28" spans="1:40">
      <c r="A28" s="58" t="s">
        <v>143</v>
      </c>
      <c r="B28" s="9"/>
      <c r="C28" s="9"/>
      <c r="D28" s="6">
        <v>63.03</v>
      </c>
      <c r="E28" s="4">
        <f t="shared" si="1"/>
        <v>137.83949999999999</v>
      </c>
      <c r="F28" s="75">
        <v>7.75</v>
      </c>
      <c r="G28" s="76">
        <v>2.95</v>
      </c>
      <c r="H28" s="75">
        <v>4.8</v>
      </c>
      <c r="I28" s="76">
        <v>2.65</v>
      </c>
      <c r="J28" s="77"/>
      <c r="K28" s="78"/>
      <c r="L28" s="77"/>
      <c r="M28" s="78"/>
      <c r="N28" s="75">
        <v>4.8</v>
      </c>
      <c r="O28" s="76">
        <v>2.65</v>
      </c>
      <c r="P28" s="75">
        <v>5</v>
      </c>
      <c r="Q28" s="76">
        <v>2.65</v>
      </c>
      <c r="R28" s="75">
        <v>2.1</v>
      </c>
      <c r="S28" s="76">
        <v>2.1</v>
      </c>
      <c r="T28" s="75">
        <v>0.8</v>
      </c>
      <c r="U28" s="76">
        <v>2.1</v>
      </c>
      <c r="V28" s="75">
        <v>0.8</v>
      </c>
      <c r="W28" s="76">
        <v>2.1</v>
      </c>
      <c r="X28" s="86"/>
      <c r="Y28" s="87"/>
      <c r="Z28" s="75">
        <v>1.2</v>
      </c>
      <c r="AA28" s="76">
        <v>2.1</v>
      </c>
      <c r="AB28" s="75">
        <v>2.2000000000000002</v>
      </c>
      <c r="AC28" s="76">
        <v>2.1</v>
      </c>
      <c r="AG28" s="1"/>
      <c r="AH28" s="1"/>
      <c r="AI28" s="1"/>
      <c r="AJ28" s="1"/>
      <c r="AK28" s="1"/>
      <c r="AL28" s="1"/>
      <c r="AM28" s="1"/>
      <c r="AN28" s="1"/>
    </row>
    <row r="29" spans="1:40">
      <c r="A29" s="58" t="s">
        <v>137</v>
      </c>
      <c r="B29" s="6">
        <v>1.95</v>
      </c>
      <c r="C29" s="6">
        <v>3.23</v>
      </c>
      <c r="D29" s="6">
        <f t="shared" ref="D29:D30" si="4">2*(B29+C29)</f>
        <v>10.36</v>
      </c>
      <c r="E29" s="4">
        <f t="shared" si="1"/>
        <v>33.543999999999997</v>
      </c>
      <c r="F29" s="77"/>
      <c r="G29" s="78"/>
      <c r="H29" s="77"/>
      <c r="I29" s="78"/>
      <c r="J29" s="77"/>
      <c r="K29" s="78"/>
      <c r="L29" s="77"/>
      <c r="M29" s="78"/>
      <c r="N29" s="75">
        <v>0.8</v>
      </c>
      <c r="O29" s="76">
        <v>2.1</v>
      </c>
      <c r="P29" s="77"/>
      <c r="Q29" s="78"/>
      <c r="R29" s="77"/>
      <c r="S29" s="78"/>
      <c r="T29" s="77"/>
      <c r="U29" s="78"/>
      <c r="V29" s="77"/>
      <c r="W29" s="78"/>
      <c r="X29" s="77"/>
      <c r="Y29" s="78"/>
      <c r="Z29" s="77"/>
      <c r="AA29" s="78"/>
      <c r="AB29" s="77"/>
      <c r="AC29" s="78"/>
      <c r="AG29" s="1"/>
      <c r="AH29" s="1"/>
      <c r="AI29" s="1"/>
      <c r="AJ29" s="1"/>
      <c r="AK29" s="1"/>
      <c r="AL29" s="1"/>
      <c r="AM29" s="1"/>
      <c r="AN29" s="1"/>
    </row>
    <row r="30" spans="1:40">
      <c r="A30" s="58" t="s">
        <v>138</v>
      </c>
      <c r="B30" s="6">
        <v>1.95</v>
      </c>
      <c r="C30" s="6">
        <v>2.15</v>
      </c>
      <c r="D30" s="6">
        <f t="shared" si="4"/>
        <v>8.1999999999999993</v>
      </c>
      <c r="E30" s="4">
        <f t="shared" si="1"/>
        <v>22.629999999999995</v>
      </c>
      <c r="F30" s="75">
        <v>1.05</v>
      </c>
      <c r="G30" s="76">
        <v>1.8</v>
      </c>
      <c r="H30" s="77"/>
      <c r="I30" s="78"/>
      <c r="J30" s="77"/>
      <c r="K30" s="78"/>
      <c r="L30" s="77"/>
      <c r="M30" s="78"/>
      <c r="N30" s="75">
        <v>0.8</v>
      </c>
      <c r="O30" s="76">
        <v>2.1</v>
      </c>
      <c r="P30" s="75">
        <v>0.8</v>
      </c>
      <c r="Q30" s="76">
        <v>2.1</v>
      </c>
      <c r="R30" s="77"/>
      <c r="S30" s="78"/>
      <c r="T30" s="77"/>
      <c r="U30" s="78"/>
      <c r="V30" s="77"/>
      <c r="W30" s="78"/>
      <c r="X30" s="77"/>
      <c r="Y30" s="78"/>
      <c r="Z30" s="77"/>
      <c r="AA30" s="78"/>
      <c r="AB30" s="77"/>
      <c r="AC30" s="78"/>
      <c r="AG30" s="1"/>
      <c r="AH30" s="1"/>
      <c r="AI30" s="1"/>
      <c r="AJ30" s="1"/>
      <c r="AK30" s="1"/>
      <c r="AL30" s="1"/>
      <c r="AM30" s="1"/>
      <c r="AN30" s="1"/>
    </row>
    <row r="31" spans="1:40">
      <c r="A31" s="58" t="s">
        <v>139</v>
      </c>
      <c r="B31" s="9"/>
      <c r="C31" s="9"/>
      <c r="D31" s="6">
        <v>27.06</v>
      </c>
      <c r="E31" s="4">
        <f t="shared" si="1"/>
        <v>81.590999999999994</v>
      </c>
      <c r="F31" s="75">
        <v>3</v>
      </c>
      <c r="G31" s="76">
        <v>1</v>
      </c>
      <c r="H31" s="77"/>
      <c r="I31" s="78"/>
      <c r="J31" s="77"/>
      <c r="K31" s="78"/>
      <c r="L31" s="77"/>
      <c r="M31" s="78"/>
      <c r="N31" s="75">
        <v>1.33</v>
      </c>
      <c r="O31" s="76">
        <v>2.1</v>
      </c>
      <c r="P31" s="77"/>
      <c r="Q31" s="78"/>
      <c r="R31" s="77"/>
      <c r="S31" s="78"/>
      <c r="T31" s="77"/>
      <c r="U31" s="78"/>
      <c r="V31" s="77"/>
      <c r="W31" s="78"/>
      <c r="X31" s="77"/>
      <c r="Y31" s="78"/>
      <c r="Z31" s="77"/>
      <c r="AA31" s="78"/>
      <c r="AB31" s="75">
        <v>2.2000000000000002</v>
      </c>
      <c r="AC31" s="76">
        <v>2.1</v>
      </c>
      <c r="AG31" s="1"/>
      <c r="AH31" s="1"/>
      <c r="AI31" s="1"/>
      <c r="AJ31" s="1"/>
      <c r="AK31" s="1"/>
      <c r="AL31" s="1"/>
      <c r="AM31" s="1"/>
      <c r="AN31" s="1"/>
    </row>
    <row r="32" spans="1:40">
      <c r="A32" s="58" t="s">
        <v>110</v>
      </c>
      <c r="B32" s="6">
        <v>1.75</v>
      </c>
      <c r="C32" s="6">
        <v>1.45</v>
      </c>
      <c r="D32" s="6">
        <f t="shared" si="0"/>
        <v>6.4</v>
      </c>
      <c r="E32" s="4">
        <f t="shared" si="1"/>
        <v>18.967000000000002</v>
      </c>
      <c r="F32" s="77"/>
      <c r="G32" s="78"/>
      <c r="H32" s="77"/>
      <c r="I32" s="78"/>
      <c r="J32" s="77"/>
      <c r="K32" s="78"/>
      <c r="L32" s="77"/>
      <c r="M32" s="78"/>
      <c r="N32" s="75">
        <v>1.33</v>
      </c>
      <c r="O32" s="76">
        <v>2.1</v>
      </c>
      <c r="P32" s="77"/>
      <c r="Q32" s="78"/>
      <c r="R32" s="77"/>
      <c r="S32" s="78"/>
      <c r="T32" s="77"/>
      <c r="U32" s="78"/>
      <c r="V32" s="77"/>
      <c r="W32" s="78"/>
      <c r="X32" s="77"/>
      <c r="Y32" s="78"/>
      <c r="Z32" s="77"/>
      <c r="AA32" s="78"/>
      <c r="AB32" s="77"/>
      <c r="AC32" s="78"/>
      <c r="AG32" s="1"/>
      <c r="AH32" s="1"/>
      <c r="AI32" s="1"/>
      <c r="AJ32" s="1"/>
      <c r="AK32" s="1"/>
      <c r="AL32" s="1"/>
      <c r="AM32" s="1"/>
      <c r="AN32" s="1"/>
    </row>
    <row r="33" spans="1:40">
      <c r="A33" s="58" t="s">
        <v>4</v>
      </c>
      <c r="B33" s="9"/>
      <c r="C33" s="9"/>
      <c r="D33" s="6">
        <v>134.11000000000001</v>
      </c>
      <c r="E33" s="4">
        <f t="shared" si="1"/>
        <v>364.90400000000005</v>
      </c>
      <c r="F33" s="75">
        <v>2</v>
      </c>
      <c r="G33" s="76">
        <v>1</v>
      </c>
      <c r="H33" s="77"/>
      <c r="I33" s="78"/>
      <c r="J33" s="77"/>
      <c r="K33" s="78"/>
      <c r="L33" s="75">
        <v>1.75</v>
      </c>
      <c r="M33" s="76">
        <v>1</v>
      </c>
      <c r="N33" s="75">
        <f>18*0.8</f>
        <v>14.4</v>
      </c>
      <c r="O33" s="76">
        <v>2.1</v>
      </c>
      <c r="P33" s="75">
        <f>4*2.1</f>
        <v>8.4</v>
      </c>
      <c r="Q33" s="76">
        <v>2.1</v>
      </c>
      <c r="R33" s="75">
        <f>7*1.1</f>
        <v>7.7000000000000011</v>
      </c>
      <c r="S33" s="76">
        <v>2.1</v>
      </c>
      <c r="T33" s="75">
        <v>1.2</v>
      </c>
      <c r="U33" s="76">
        <v>2.1</v>
      </c>
      <c r="V33" s="75">
        <f>2*0.9</f>
        <v>1.8</v>
      </c>
      <c r="W33" s="76">
        <v>2.1</v>
      </c>
      <c r="X33" s="75">
        <v>1.1000000000000001</v>
      </c>
      <c r="Y33" s="76">
        <v>2.1</v>
      </c>
      <c r="Z33" s="75">
        <v>1.2</v>
      </c>
      <c r="AA33" s="76">
        <v>0.6</v>
      </c>
      <c r="AB33" s="75">
        <f>1.9+2.2</f>
        <v>4.0999999999999996</v>
      </c>
      <c r="AC33" s="76">
        <f>A3</f>
        <v>3.4</v>
      </c>
      <c r="AG33" s="1"/>
      <c r="AH33" s="1"/>
      <c r="AI33" s="1"/>
      <c r="AJ33" s="1"/>
      <c r="AK33" s="1"/>
      <c r="AL33" s="1"/>
      <c r="AM33" s="1"/>
      <c r="AN33" s="1"/>
    </row>
    <row r="34" spans="1:40">
      <c r="A34" s="58" t="s">
        <v>140</v>
      </c>
      <c r="B34" s="6">
        <v>2.35</v>
      </c>
      <c r="C34" s="6">
        <v>3.42</v>
      </c>
      <c r="D34" s="6">
        <f t="shared" ref="D34" si="5">2*(B34+C34)</f>
        <v>11.54</v>
      </c>
      <c r="E34" s="4">
        <f t="shared" si="1"/>
        <v>37.555999999999997</v>
      </c>
      <c r="F34" s="77"/>
      <c r="G34" s="78"/>
      <c r="H34" s="77"/>
      <c r="I34" s="78"/>
      <c r="J34" s="77"/>
      <c r="K34" s="78"/>
      <c r="L34" s="77"/>
      <c r="M34" s="78"/>
      <c r="N34" s="75">
        <v>0.8</v>
      </c>
      <c r="O34" s="76">
        <v>2.1</v>
      </c>
      <c r="P34" s="77"/>
      <c r="Q34" s="78"/>
      <c r="R34" s="77"/>
      <c r="S34" s="78"/>
      <c r="T34" s="77"/>
      <c r="U34" s="78"/>
      <c r="V34" s="77"/>
      <c r="W34" s="78"/>
      <c r="X34" s="77"/>
      <c r="Y34" s="78"/>
      <c r="Z34" s="77"/>
      <c r="AA34" s="78"/>
      <c r="AB34" s="77"/>
      <c r="AC34" s="78"/>
      <c r="AG34" s="1"/>
      <c r="AH34" s="1"/>
      <c r="AI34" s="1"/>
      <c r="AJ34" s="1"/>
      <c r="AK34" s="1"/>
      <c r="AL34" s="1"/>
      <c r="AM34" s="1"/>
      <c r="AN34" s="1"/>
    </row>
    <row r="35" spans="1:40">
      <c r="A35" s="58" t="s">
        <v>145</v>
      </c>
      <c r="B35" s="9"/>
      <c r="C35" s="9"/>
      <c r="D35" s="6">
        <v>45.7</v>
      </c>
      <c r="E35" s="4">
        <f t="shared" si="1"/>
        <v>144.79</v>
      </c>
      <c r="F35" s="75">
        <v>2.75</v>
      </c>
      <c r="G35" s="76">
        <v>1</v>
      </c>
      <c r="H35" s="77"/>
      <c r="I35" s="78"/>
      <c r="J35" s="77"/>
      <c r="K35" s="78"/>
      <c r="L35" s="77"/>
      <c r="M35" s="78"/>
      <c r="N35" s="75">
        <v>0.9</v>
      </c>
      <c r="O35" s="76">
        <v>2.1</v>
      </c>
      <c r="P35" s="75">
        <v>0.9</v>
      </c>
      <c r="Q35" s="76">
        <v>2.1</v>
      </c>
      <c r="R35" s="75">
        <v>1.1000000000000001</v>
      </c>
      <c r="S35" s="76">
        <v>2.1</v>
      </c>
      <c r="T35" s="77"/>
      <c r="U35" s="78"/>
      <c r="V35" s="77"/>
      <c r="W35" s="78"/>
      <c r="X35" s="77"/>
      <c r="Y35" s="78"/>
      <c r="Z35" s="75">
        <v>1.75</v>
      </c>
      <c r="AA35" s="76">
        <v>1</v>
      </c>
      <c r="AB35" s="77"/>
      <c r="AC35" s="78"/>
      <c r="AG35" s="1"/>
      <c r="AH35" s="1"/>
      <c r="AI35" s="1"/>
      <c r="AJ35" s="1"/>
      <c r="AK35" s="1"/>
      <c r="AL35" s="1"/>
      <c r="AM35" s="1"/>
      <c r="AN35" s="1"/>
    </row>
    <row r="36" spans="1:40">
      <c r="A36" s="58" t="s">
        <v>146</v>
      </c>
      <c r="B36" s="9"/>
      <c r="C36" s="9"/>
      <c r="D36" s="6">
        <v>33.200000000000003</v>
      </c>
      <c r="E36" s="4">
        <f t="shared" si="1"/>
        <v>101.76</v>
      </c>
      <c r="F36" s="75">
        <v>2.2000000000000002</v>
      </c>
      <c r="G36" s="76">
        <v>1</v>
      </c>
      <c r="H36" s="75">
        <v>2.2000000000000002</v>
      </c>
      <c r="I36" s="76">
        <v>1</v>
      </c>
      <c r="J36" s="77"/>
      <c r="K36" s="78"/>
      <c r="L36" s="77"/>
      <c r="M36" s="78"/>
      <c r="N36" s="75">
        <v>1.1000000000000001</v>
      </c>
      <c r="O36" s="76">
        <v>2.1</v>
      </c>
      <c r="P36" s="75">
        <v>2.1</v>
      </c>
      <c r="Q36" s="76">
        <v>2.1</v>
      </c>
      <c r="R36" s="77"/>
      <c r="S36" s="78"/>
      <c r="T36" s="77"/>
      <c r="U36" s="78"/>
      <c r="V36" s="77"/>
      <c r="W36" s="78"/>
      <c r="X36" s="77"/>
      <c r="Y36" s="78"/>
      <c r="Z36" s="77"/>
      <c r="AA36" s="78"/>
      <c r="AB36" s="77"/>
      <c r="AC36" s="78"/>
      <c r="AG36" s="1"/>
      <c r="AH36" s="1"/>
      <c r="AI36" s="1"/>
      <c r="AJ36" s="1"/>
      <c r="AK36" s="1"/>
      <c r="AL36" s="1"/>
      <c r="AM36" s="1"/>
      <c r="AN36" s="1"/>
    </row>
    <row r="37" spans="1:40">
      <c r="A37" s="58" t="s">
        <v>122</v>
      </c>
      <c r="B37" s="6">
        <v>1.9</v>
      </c>
      <c r="C37" s="6">
        <v>3.25</v>
      </c>
      <c r="D37" s="6">
        <f t="shared" si="0"/>
        <v>10.3</v>
      </c>
      <c r="E37" s="4">
        <f t="shared" si="1"/>
        <v>28.560000000000002</v>
      </c>
      <c r="F37" s="77"/>
      <c r="G37" s="78"/>
      <c r="H37" s="77"/>
      <c r="I37" s="78"/>
      <c r="J37" s="77"/>
      <c r="K37" s="78"/>
      <c r="L37" s="77"/>
      <c r="M37" s="78"/>
      <c r="N37" s="77"/>
      <c r="O37" s="78"/>
      <c r="P37" s="77"/>
      <c r="Q37" s="78"/>
      <c r="R37" s="77"/>
      <c r="S37" s="78"/>
      <c r="T37" s="77"/>
      <c r="U37" s="78"/>
      <c r="V37" s="77"/>
      <c r="W37" s="78"/>
      <c r="X37" s="77"/>
      <c r="Y37" s="78"/>
      <c r="Z37" s="77"/>
      <c r="AA37" s="78"/>
      <c r="AB37" s="75">
        <v>1.9</v>
      </c>
      <c r="AC37" s="76">
        <v>3.4</v>
      </c>
      <c r="AG37" s="1"/>
      <c r="AH37" s="1"/>
      <c r="AI37" s="1"/>
      <c r="AJ37" s="1"/>
      <c r="AK37" s="1"/>
      <c r="AL37" s="1"/>
      <c r="AM37" s="1"/>
      <c r="AN37" s="1"/>
    </row>
    <row r="38" spans="1:40">
      <c r="A38" s="58" t="s">
        <v>124</v>
      </c>
      <c r="B38" s="6">
        <v>3.45</v>
      </c>
      <c r="C38" s="6">
        <v>3.2</v>
      </c>
      <c r="D38" s="6">
        <f t="shared" si="0"/>
        <v>13.3</v>
      </c>
      <c r="E38" s="4">
        <f t="shared" si="1"/>
        <v>34.089999999999996</v>
      </c>
      <c r="F38" s="77"/>
      <c r="G38" s="78"/>
      <c r="H38" s="77"/>
      <c r="I38" s="78"/>
      <c r="J38" s="77"/>
      <c r="K38" s="78"/>
      <c r="L38" s="77"/>
      <c r="M38" s="78"/>
      <c r="N38" s="75">
        <v>1.1000000000000001</v>
      </c>
      <c r="O38" s="76">
        <v>2.1</v>
      </c>
      <c r="P38" s="75">
        <v>2.1</v>
      </c>
      <c r="Q38" s="76">
        <v>2.1</v>
      </c>
      <c r="R38" s="75">
        <v>2.1</v>
      </c>
      <c r="S38" s="76">
        <v>2.1</v>
      </c>
      <c r="T38" s="77"/>
      <c r="U38" s="78"/>
      <c r="V38" s="77"/>
      <c r="W38" s="78"/>
      <c r="X38" s="77"/>
      <c r="Y38" s="78"/>
      <c r="Z38" s="77"/>
      <c r="AA38" s="78"/>
      <c r="AB38" s="77"/>
      <c r="AC38" s="78"/>
      <c r="AG38" s="1"/>
      <c r="AH38" s="1"/>
      <c r="AI38" s="1"/>
      <c r="AJ38" s="1"/>
      <c r="AK38" s="1"/>
      <c r="AL38" s="1"/>
      <c r="AM38" s="1"/>
      <c r="AN38" s="1"/>
    </row>
    <row r="39" spans="1:40">
      <c r="A39" s="58" t="s">
        <v>110</v>
      </c>
      <c r="B39" s="6">
        <v>2.9</v>
      </c>
      <c r="C39" s="6">
        <v>1.95</v>
      </c>
      <c r="D39" s="6">
        <f t="shared" si="0"/>
        <v>9.6999999999999993</v>
      </c>
      <c r="E39" s="4">
        <f t="shared" si="1"/>
        <v>30.669999999999995</v>
      </c>
      <c r="F39" s="77"/>
      <c r="G39" s="78"/>
      <c r="H39" s="77"/>
      <c r="I39" s="78"/>
      <c r="J39" s="77"/>
      <c r="K39" s="78"/>
      <c r="L39" s="77"/>
      <c r="M39" s="78"/>
      <c r="N39" s="75">
        <v>1.1000000000000001</v>
      </c>
      <c r="O39" s="76">
        <v>2.1</v>
      </c>
      <c r="P39" s="77"/>
      <c r="Q39" s="78"/>
      <c r="R39" s="77"/>
      <c r="S39" s="78"/>
      <c r="T39" s="77"/>
      <c r="U39" s="78"/>
      <c r="V39" s="77"/>
      <c r="W39" s="78"/>
      <c r="X39" s="77"/>
      <c r="Y39" s="78"/>
      <c r="Z39" s="77"/>
      <c r="AA39" s="78"/>
      <c r="AB39" s="77"/>
      <c r="AC39" s="78"/>
      <c r="AG39" s="1"/>
      <c r="AH39" s="1"/>
      <c r="AI39" s="1"/>
      <c r="AJ39" s="1"/>
      <c r="AK39" s="1"/>
      <c r="AL39" s="1"/>
      <c r="AM39" s="1"/>
      <c r="AN39" s="1"/>
    </row>
    <row r="40" spans="1:40">
      <c r="A40" s="58" t="s">
        <v>122</v>
      </c>
      <c r="B40" s="6">
        <v>1.5</v>
      </c>
      <c r="C40" s="6">
        <v>1.95</v>
      </c>
      <c r="D40" s="6">
        <f t="shared" si="0"/>
        <v>6.9</v>
      </c>
      <c r="E40" s="4">
        <f t="shared" si="1"/>
        <v>23.46</v>
      </c>
      <c r="F40" s="77"/>
      <c r="G40" s="78"/>
      <c r="H40" s="77"/>
      <c r="I40" s="78"/>
      <c r="J40" s="77"/>
      <c r="K40" s="78"/>
      <c r="L40" s="77"/>
      <c r="M40" s="78"/>
      <c r="N40" s="77"/>
      <c r="O40" s="78"/>
      <c r="P40" s="77"/>
      <c r="Q40" s="78"/>
      <c r="R40" s="77"/>
      <c r="S40" s="78"/>
      <c r="T40" s="77"/>
      <c r="U40" s="78"/>
      <c r="V40" s="77"/>
      <c r="W40" s="78"/>
      <c r="X40" s="77"/>
      <c r="Y40" s="78"/>
      <c r="Z40" s="77"/>
      <c r="AA40" s="78"/>
      <c r="AB40" s="77"/>
      <c r="AC40" s="78"/>
      <c r="AG40" s="1"/>
      <c r="AH40" s="1"/>
      <c r="AI40" s="1"/>
      <c r="AJ40" s="1"/>
      <c r="AK40" s="1"/>
      <c r="AL40" s="1"/>
      <c r="AM40" s="1"/>
      <c r="AN40" s="1"/>
    </row>
    <row r="41" spans="1:40">
      <c r="A41" s="58" t="s">
        <v>149</v>
      </c>
      <c r="B41" s="6">
        <v>3.78</v>
      </c>
      <c r="C41" s="6">
        <v>4.45</v>
      </c>
      <c r="D41" s="6">
        <f t="shared" si="0"/>
        <v>16.46</v>
      </c>
      <c r="E41" s="4">
        <f t="shared" si="1"/>
        <v>53.653999999999996</v>
      </c>
      <c r="F41" s="77"/>
      <c r="G41" s="78"/>
      <c r="H41" s="77"/>
      <c r="I41" s="78"/>
      <c r="J41" s="77"/>
      <c r="K41" s="78"/>
      <c r="L41" s="77"/>
      <c r="M41" s="78"/>
      <c r="N41" s="75">
        <v>1.1000000000000001</v>
      </c>
      <c r="O41" s="76">
        <v>2.1</v>
      </c>
      <c r="P41" s="77"/>
      <c r="Q41" s="78"/>
      <c r="R41" s="77"/>
      <c r="S41" s="78"/>
      <c r="T41" s="77"/>
      <c r="U41" s="78"/>
      <c r="V41" s="77"/>
      <c r="W41" s="78"/>
      <c r="X41" s="77"/>
      <c r="Y41" s="78"/>
      <c r="Z41" s="77"/>
      <c r="AA41" s="78"/>
      <c r="AB41" s="77"/>
      <c r="AC41" s="78"/>
      <c r="AG41" s="1"/>
      <c r="AH41" s="1"/>
      <c r="AI41" s="1"/>
      <c r="AJ41" s="1"/>
      <c r="AK41" s="1"/>
      <c r="AL41" s="1"/>
      <c r="AM41" s="1"/>
      <c r="AN41" s="1"/>
    </row>
    <row r="42" spans="1:40">
      <c r="A42" s="58" t="s">
        <v>150</v>
      </c>
      <c r="B42" s="6">
        <v>7.48</v>
      </c>
      <c r="C42" s="6">
        <v>4.4000000000000004</v>
      </c>
      <c r="D42" s="6">
        <f t="shared" si="0"/>
        <v>23.76</v>
      </c>
      <c r="E42" s="4">
        <f t="shared" si="1"/>
        <v>76.374000000000009</v>
      </c>
      <c r="F42" s="77"/>
      <c r="G42" s="78"/>
      <c r="H42" s="77"/>
      <c r="I42" s="78"/>
      <c r="J42" s="77"/>
      <c r="K42" s="78"/>
      <c r="L42" s="77"/>
      <c r="M42" s="78"/>
      <c r="N42" s="75">
        <v>2.1</v>
      </c>
      <c r="O42" s="76">
        <v>2.1</v>
      </c>
      <c r="P42" s="77"/>
      <c r="Q42" s="78"/>
      <c r="R42" s="77"/>
      <c r="S42" s="78"/>
      <c r="T42" s="77"/>
      <c r="U42" s="78"/>
      <c r="V42" s="77"/>
      <c r="W42" s="78"/>
      <c r="X42" s="77"/>
      <c r="Y42" s="78"/>
      <c r="Z42" s="77"/>
      <c r="AA42" s="78"/>
      <c r="AB42" s="77"/>
      <c r="AC42" s="78"/>
      <c r="AG42" s="1"/>
      <c r="AH42" s="1"/>
      <c r="AI42" s="1"/>
      <c r="AJ42" s="1"/>
      <c r="AK42" s="1"/>
      <c r="AL42" s="1"/>
      <c r="AM42" s="1"/>
      <c r="AN42" s="1"/>
    </row>
    <row r="43" spans="1:40">
      <c r="A43" s="58" t="s">
        <v>122</v>
      </c>
      <c r="B43" s="6">
        <v>0.85</v>
      </c>
      <c r="C43" s="6">
        <v>2.0499999999999998</v>
      </c>
      <c r="D43" s="6">
        <f t="shared" si="0"/>
        <v>5.8</v>
      </c>
      <c r="E43" s="4">
        <f t="shared" si="1"/>
        <v>19.72</v>
      </c>
      <c r="F43" s="77"/>
      <c r="G43" s="78"/>
      <c r="H43" s="77"/>
      <c r="I43" s="78"/>
      <c r="J43" s="77"/>
      <c r="K43" s="78"/>
      <c r="L43" s="77"/>
      <c r="M43" s="78"/>
      <c r="N43" s="77"/>
      <c r="O43" s="78"/>
      <c r="P43" s="77"/>
      <c r="Q43" s="78"/>
      <c r="R43" s="77"/>
      <c r="S43" s="78"/>
      <c r="T43" s="77"/>
      <c r="U43" s="78"/>
      <c r="V43" s="77"/>
      <c r="W43" s="78"/>
      <c r="X43" s="77"/>
      <c r="Y43" s="78"/>
      <c r="Z43" s="77"/>
      <c r="AA43" s="78"/>
      <c r="AB43" s="77"/>
      <c r="AC43" s="78"/>
      <c r="AG43" s="1"/>
      <c r="AH43" s="1"/>
      <c r="AI43" s="1"/>
      <c r="AJ43" s="1"/>
      <c r="AK43" s="1"/>
      <c r="AL43" s="1"/>
      <c r="AM43" s="1"/>
      <c r="AN43" s="1"/>
    </row>
    <row r="44" spans="1:40">
      <c r="A44" s="58" t="s">
        <v>151</v>
      </c>
      <c r="B44" s="6">
        <v>2.17</v>
      </c>
      <c r="C44" s="6">
        <v>12.7</v>
      </c>
      <c r="D44" s="6">
        <f t="shared" si="0"/>
        <v>29.74</v>
      </c>
      <c r="E44" s="4">
        <f t="shared" si="1"/>
        <v>97.435999999999979</v>
      </c>
      <c r="F44" s="75">
        <v>2</v>
      </c>
      <c r="G44" s="76">
        <v>1</v>
      </c>
      <c r="H44" s="77"/>
      <c r="I44" s="78"/>
      <c r="J44" s="77"/>
      <c r="K44" s="78"/>
      <c r="L44" s="77"/>
      <c r="M44" s="78"/>
      <c r="N44" s="75">
        <v>0.8</v>
      </c>
      <c r="O44" s="76">
        <v>2.1</v>
      </c>
      <c r="P44" s="77"/>
      <c r="Q44" s="78"/>
      <c r="R44" s="77"/>
      <c r="S44" s="78"/>
      <c r="T44" s="77"/>
      <c r="U44" s="78"/>
      <c r="V44" s="77"/>
      <c r="W44" s="78"/>
      <c r="X44" s="77"/>
      <c r="Y44" s="78"/>
      <c r="Z44" s="77"/>
      <c r="AA44" s="78"/>
      <c r="AB44" s="77"/>
      <c r="AC44" s="78"/>
      <c r="AG44" s="3"/>
      <c r="AH44" s="3"/>
      <c r="AI44" s="3"/>
      <c r="AJ44" s="3"/>
      <c r="AK44" s="3"/>
      <c r="AL44" s="3"/>
      <c r="AM44" s="3"/>
      <c r="AN44" s="3"/>
    </row>
    <row r="45" spans="1:40">
      <c r="A45" s="58" t="s">
        <v>152</v>
      </c>
      <c r="B45" s="6">
        <v>6.6</v>
      </c>
      <c r="C45" s="6">
        <v>12.7</v>
      </c>
      <c r="D45" s="6">
        <f t="shared" si="0"/>
        <v>38.599999999999994</v>
      </c>
      <c r="E45" s="4">
        <f t="shared" si="1"/>
        <v>121.75999999999998</v>
      </c>
      <c r="F45" s="75">
        <v>2</v>
      </c>
      <c r="G45" s="76">
        <v>1</v>
      </c>
      <c r="H45" s="77"/>
      <c r="I45" s="78"/>
      <c r="J45" s="77"/>
      <c r="K45" s="78"/>
      <c r="L45" s="77"/>
      <c r="M45" s="78"/>
      <c r="N45" s="77"/>
      <c r="O45" s="78"/>
      <c r="P45" s="77"/>
      <c r="Q45" s="78"/>
      <c r="R45" s="77"/>
      <c r="S45" s="78"/>
      <c r="T45" s="77"/>
      <c r="U45" s="78"/>
      <c r="V45" s="77"/>
      <c r="W45" s="78"/>
      <c r="X45" s="77"/>
      <c r="Y45" s="78"/>
      <c r="Z45" s="77"/>
      <c r="AA45" s="78"/>
      <c r="AB45" s="75">
        <v>2.2000000000000002</v>
      </c>
      <c r="AC45" s="76">
        <v>3.4</v>
      </c>
    </row>
    <row r="46" spans="1:40">
      <c r="A46" s="58" t="s">
        <v>153</v>
      </c>
      <c r="B46" s="6">
        <v>2.0499999999999998</v>
      </c>
      <c r="C46" s="6">
        <v>12.7</v>
      </c>
      <c r="D46" s="6">
        <f t="shared" si="0"/>
        <v>29.5</v>
      </c>
      <c r="E46" s="4">
        <f t="shared" si="1"/>
        <v>93.99</v>
      </c>
      <c r="F46" s="75">
        <v>2</v>
      </c>
      <c r="G46" s="76">
        <v>1</v>
      </c>
      <c r="H46" s="75">
        <v>2</v>
      </c>
      <c r="I46" s="76">
        <v>1</v>
      </c>
      <c r="J46" s="77"/>
      <c r="K46" s="78"/>
      <c r="L46" s="77"/>
      <c r="M46" s="78"/>
      <c r="N46" s="75">
        <v>1.1000000000000001</v>
      </c>
      <c r="O46" s="76">
        <v>2.1</v>
      </c>
      <c r="P46" s="77"/>
      <c r="Q46" s="78"/>
      <c r="R46" s="77"/>
      <c r="S46" s="78"/>
      <c r="T46" s="77"/>
      <c r="U46" s="78"/>
      <c r="V46" s="77"/>
      <c r="W46" s="78"/>
      <c r="X46" s="77"/>
      <c r="Y46" s="78"/>
      <c r="Z46" s="77"/>
      <c r="AA46" s="78"/>
      <c r="AB46" s="77"/>
      <c r="AC46" s="78"/>
    </row>
    <row r="47" spans="1:40"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</row>
    <row r="48" spans="1:40">
      <c r="A48" s="58" t="s">
        <v>24</v>
      </c>
      <c r="B48" s="9"/>
      <c r="C48" s="9"/>
      <c r="D48" s="6">
        <f>178.37-4.2-21.9</f>
        <v>152.27000000000001</v>
      </c>
      <c r="E48" s="4">
        <f>(D48*($A$3+0.35))-((F48*G48)+(H48*I48)+(J48*K48)+(L48*M48)+(N48*O48)+(P48*Q48)+(R48*S48)+(T48*U48)+(V48*W48)+(X48*Y48)+(Z48*AA48)+(AB48*AC48))</f>
        <v>425.47</v>
      </c>
      <c r="F48" s="75">
        <f>7*2</f>
        <v>14</v>
      </c>
      <c r="G48" s="76">
        <v>1</v>
      </c>
      <c r="H48" s="75">
        <f>2*2.2</f>
        <v>4.4000000000000004</v>
      </c>
      <c r="I48" s="76">
        <v>1</v>
      </c>
      <c r="J48" s="75">
        <f>3*1</f>
        <v>3</v>
      </c>
      <c r="K48" s="76">
        <v>0.8</v>
      </c>
      <c r="L48" s="75">
        <f>2.75+3+5+13.9+4.15+7.1+3.35+11.55</f>
        <v>50.8</v>
      </c>
      <c r="M48" s="76">
        <v>1</v>
      </c>
      <c r="N48" s="75">
        <f>2*2.1</f>
        <v>4.2</v>
      </c>
      <c r="O48" s="76">
        <v>2.1</v>
      </c>
      <c r="P48" s="75">
        <v>5</v>
      </c>
      <c r="Q48" s="76">
        <v>2.65</v>
      </c>
      <c r="R48" s="75">
        <v>4.8</v>
      </c>
      <c r="S48" s="76">
        <v>2.65</v>
      </c>
      <c r="T48" s="75">
        <v>0.8</v>
      </c>
      <c r="U48" s="76">
        <v>2.1</v>
      </c>
      <c r="V48" s="75">
        <v>7.75</v>
      </c>
      <c r="W48" s="76">
        <v>2.95</v>
      </c>
      <c r="X48" s="75">
        <v>1.05</v>
      </c>
      <c r="Y48" s="76">
        <v>1.8</v>
      </c>
      <c r="Z48" s="75">
        <v>4.8</v>
      </c>
      <c r="AA48" s="76">
        <v>2.65</v>
      </c>
      <c r="AB48" s="77"/>
      <c r="AC48" s="78"/>
    </row>
    <row r="49" spans="1:40">
      <c r="A49" s="58" t="s">
        <v>25</v>
      </c>
      <c r="B49" s="9"/>
      <c r="C49" s="9"/>
      <c r="D49" s="9"/>
      <c r="E49" s="9"/>
      <c r="F49" s="86"/>
      <c r="G49" s="87"/>
      <c r="H49" s="86"/>
      <c r="I49" s="87"/>
      <c r="J49" s="86"/>
      <c r="K49" s="87"/>
      <c r="L49" s="86"/>
      <c r="M49" s="87"/>
      <c r="N49" s="86"/>
      <c r="O49" s="87"/>
      <c r="P49" s="86"/>
      <c r="Q49" s="87"/>
      <c r="R49" s="86"/>
      <c r="S49" s="87"/>
      <c r="T49" s="86"/>
      <c r="U49" s="87"/>
      <c r="V49" s="86"/>
      <c r="W49" s="87"/>
      <c r="X49" s="86"/>
      <c r="Y49" s="87"/>
      <c r="Z49" s="86"/>
      <c r="AA49" s="87"/>
      <c r="AB49" s="86"/>
      <c r="AC49" s="87"/>
    </row>
    <row r="51" spans="1:40">
      <c r="A51" s="58" t="s">
        <v>83</v>
      </c>
      <c r="B51" s="153">
        <f>SUM(E5:E49)</f>
        <v>2935.4554999999991</v>
      </c>
      <c r="C51" s="154"/>
      <c r="E51" s="39"/>
    </row>
    <row r="52" spans="1:40" ht="5.0999999999999996" customHeight="1"/>
    <row r="53" spans="1:40" hidden="1">
      <c r="A53" s="5" t="s">
        <v>373</v>
      </c>
    </row>
    <row r="55" spans="1:40">
      <c r="A55" s="147" t="s">
        <v>375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</row>
    <row r="56" spans="1:40" s="3" customFormat="1">
      <c r="A56" s="5"/>
      <c r="F56" s="147" t="s">
        <v>6</v>
      </c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</row>
    <row r="57" spans="1:40" s="3" customFormat="1">
      <c r="A57" s="5"/>
      <c r="F57" s="148" t="s">
        <v>9</v>
      </c>
      <c r="G57" s="149"/>
      <c r="H57" s="148" t="s">
        <v>12</v>
      </c>
      <c r="I57" s="149"/>
      <c r="J57" s="148" t="s">
        <v>13</v>
      </c>
      <c r="K57" s="149"/>
      <c r="L57" s="148" t="s">
        <v>14</v>
      </c>
      <c r="M57" s="149"/>
      <c r="N57" s="148" t="s">
        <v>15</v>
      </c>
      <c r="O57" s="149"/>
      <c r="P57" s="148" t="s">
        <v>16</v>
      </c>
      <c r="Q57" s="149"/>
      <c r="R57" s="148" t="s">
        <v>17</v>
      </c>
      <c r="S57" s="149"/>
      <c r="T57" s="147" t="s">
        <v>18</v>
      </c>
      <c r="U57" s="147"/>
      <c r="V57" s="147" t="s">
        <v>19</v>
      </c>
      <c r="W57" s="147"/>
      <c r="X57" s="147" t="s">
        <v>20</v>
      </c>
      <c r="Y57" s="147"/>
      <c r="Z57" s="147" t="s">
        <v>22</v>
      </c>
      <c r="AA57" s="147"/>
      <c r="AB57" s="147" t="s">
        <v>23</v>
      </c>
      <c r="AC57" s="147"/>
    </row>
    <row r="58" spans="1:40" ht="30" customHeight="1">
      <c r="B58" s="10" t="s">
        <v>7</v>
      </c>
      <c r="C58" s="10" t="s">
        <v>8</v>
      </c>
      <c r="D58" s="11" t="s">
        <v>2</v>
      </c>
      <c r="E58" s="11" t="s">
        <v>3</v>
      </c>
      <c r="F58" s="2" t="s">
        <v>10</v>
      </c>
      <c r="G58" s="2" t="s">
        <v>11</v>
      </c>
      <c r="H58" s="2" t="s">
        <v>10</v>
      </c>
      <c r="I58" s="2" t="s">
        <v>11</v>
      </c>
      <c r="J58" s="2" t="s">
        <v>10</v>
      </c>
      <c r="K58" s="2" t="s">
        <v>11</v>
      </c>
      <c r="L58" s="2" t="s">
        <v>10</v>
      </c>
      <c r="M58" s="2" t="s">
        <v>11</v>
      </c>
      <c r="N58" s="2" t="s">
        <v>10</v>
      </c>
      <c r="O58" s="2" t="s">
        <v>11</v>
      </c>
      <c r="P58" s="2" t="s">
        <v>10</v>
      </c>
      <c r="Q58" s="2" t="s">
        <v>11</v>
      </c>
      <c r="R58" s="2" t="s">
        <v>10</v>
      </c>
      <c r="S58" s="2" t="s">
        <v>11</v>
      </c>
      <c r="T58" s="2" t="s">
        <v>10</v>
      </c>
      <c r="U58" s="2" t="s">
        <v>11</v>
      </c>
      <c r="V58" s="2" t="s">
        <v>10</v>
      </c>
      <c r="W58" s="2" t="s">
        <v>11</v>
      </c>
      <c r="X58" s="2" t="s">
        <v>10</v>
      </c>
      <c r="Y58" s="2" t="s">
        <v>11</v>
      </c>
      <c r="Z58" s="2" t="s">
        <v>10</v>
      </c>
      <c r="AA58" s="2" t="s">
        <v>11</v>
      </c>
      <c r="AB58" s="2" t="s">
        <v>10</v>
      </c>
      <c r="AC58" s="2" t="s">
        <v>11</v>
      </c>
      <c r="AG58" s="1"/>
      <c r="AH58" s="1"/>
      <c r="AI58" s="1"/>
      <c r="AJ58" s="1"/>
      <c r="AK58" s="1"/>
      <c r="AL58" s="1"/>
      <c r="AM58" s="1"/>
      <c r="AN58" s="1"/>
    </row>
    <row r="59" spans="1:40">
      <c r="A59" s="68" t="s">
        <v>117</v>
      </c>
      <c r="B59" s="6">
        <v>4</v>
      </c>
      <c r="C59" s="6">
        <v>3.55</v>
      </c>
      <c r="D59" s="6">
        <f t="shared" ref="D59" si="6">2*(B59+C59)</f>
        <v>15.1</v>
      </c>
      <c r="E59" s="4">
        <f t="shared" ref="E59" si="7">(D59*$A$3)-((F59*G59)+(H59*I59)+(J59*K59)+(L59*M59)+(N59*O59)+(P59*Q59)+(R59*S59)+(T59*U59)+(V59*W59)+(X59*Y59)+(Z59*AA59)+(AB59*AC59))</f>
        <v>47.139999999999993</v>
      </c>
      <c r="F59" s="77"/>
      <c r="G59" s="78"/>
      <c r="H59" s="77"/>
      <c r="I59" s="78"/>
      <c r="J59" s="77"/>
      <c r="K59" s="78"/>
      <c r="L59" s="77"/>
      <c r="M59" s="78"/>
      <c r="N59" s="75">
        <v>1.2</v>
      </c>
      <c r="O59" s="76">
        <v>2.1</v>
      </c>
      <c r="P59" s="75">
        <v>0.8</v>
      </c>
      <c r="Q59" s="76">
        <v>2.1</v>
      </c>
      <c r="R59" s="77"/>
      <c r="S59" s="78"/>
      <c r="T59" s="77"/>
      <c r="U59" s="78"/>
      <c r="V59" s="77"/>
      <c r="W59" s="78"/>
      <c r="X59" s="77"/>
      <c r="Y59" s="78"/>
      <c r="Z59" s="77"/>
      <c r="AA59" s="78"/>
      <c r="AB59" s="77"/>
      <c r="AC59" s="78"/>
      <c r="AG59" s="1"/>
      <c r="AH59" s="1"/>
      <c r="AI59" s="1"/>
      <c r="AJ59" s="1"/>
      <c r="AK59" s="1"/>
      <c r="AL59" s="1"/>
      <c r="AM59" s="1"/>
      <c r="AN59" s="1"/>
    </row>
    <row r="61" spans="1:40">
      <c r="A61" s="68" t="s">
        <v>83</v>
      </c>
      <c r="B61" s="155">
        <f>SUM(E59)</f>
        <v>47.139999999999993</v>
      </c>
      <c r="C61" s="156"/>
    </row>
    <row r="62" spans="1:40" ht="5.0999999999999996" customHeight="1"/>
    <row r="63" spans="1:40">
      <c r="A63" s="69" t="s">
        <v>219</v>
      </c>
    </row>
    <row r="64" spans="1:40" hidden="1">
      <c r="A64" s="5" t="s">
        <v>374</v>
      </c>
    </row>
  </sheetData>
  <mergeCells count="30">
    <mergeCell ref="A1:AC1"/>
    <mergeCell ref="A55:AC55"/>
    <mergeCell ref="B61:C61"/>
    <mergeCell ref="F56:AC56"/>
    <mergeCell ref="F57:G57"/>
    <mergeCell ref="H57:I57"/>
    <mergeCell ref="J57:K57"/>
    <mergeCell ref="L57:M57"/>
    <mergeCell ref="N57:O57"/>
    <mergeCell ref="P57:Q57"/>
    <mergeCell ref="R57:S57"/>
    <mergeCell ref="T57:U57"/>
    <mergeCell ref="V57:W57"/>
    <mergeCell ref="X57:Y57"/>
    <mergeCell ref="Z57:AA57"/>
    <mergeCell ref="AB57:AC57"/>
    <mergeCell ref="X3:Y3"/>
    <mergeCell ref="Z3:AA3"/>
    <mergeCell ref="AB3:AC3"/>
    <mergeCell ref="B51:C5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11">
    <tabColor rgb="FF00FF00"/>
  </sheetPr>
  <dimension ref="A1:AN25"/>
  <sheetViews>
    <sheetView view="pageBreakPreview" zoomScale="60" zoomScaleNormal="85" workbookViewId="0">
      <selection activeCell="G41" sqref="G41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359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5" t="s">
        <v>5</v>
      </c>
      <c r="B5" s="6">
        <v>2</v>
      </c>
      <c r="C5" s="6">
        <v>1.42</v>
      </c>
      <c r="D5" s="6">
        <f t="shared" ref="D5:D20" si="0">2*(B5+C5)</f>
        <v>6.84</v>
      </c>
      <c r="E5" s="4">
        <f t="shared" ref="E5:E20" si="1">(D5*$A$3)-((F5*G5)+(H5*I5)+(J5*K5)+(L5*M5)+(N5*O5)+(P5*Q5)+(R5*S5)+(T5*U5)+(V5*W5)+(X5*Y5)+(Z5*AA5)+(AB5*AC5))</f>
        <v>21.576000000000001</v>
      </c>
      <c r="F5" s="77"/>
      <c r="G5" s="78"/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55" t="s">
        <v>114</v>
      </c>
      <c r="B6" s="6">
        <v>2</v>
      </c>
      <c r="C6" s="6">
        <v>2</v>
      </c>
      <c r="D6" s="6">
        <f t="shared" si="0"/>
        <v>8</v>
      </c>
      <c r="E6" s="4">
        <f t="shared" si="1"/>
        <v>25.52</v>
      </c>
      <c r="F6" s="77"/>
      <c r="G6" s="78"/>
      <c r="H6" s="77"/>
      <c r="I6" s="78"/>
      <c r="J6" s="77"/>
      <c r="K6" s="78"/>
      <c r="L6" s="77"/>
      <c r="M6" s="78"/>
      <c r="N6" s="75">
        <v>0.8</v>
      </c>
      <c r="O6" s="76">
        <v>2.1</v>
      </c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G6" s="1"/>
      <c r="AH6" s="1"/>
      <c r="AI6" s="1"/>
      <c r="AJ6" s="1"/>
      <c r="AK6" s="1"/>
      <c r="AL6" s="1"/>
      <c r="AM6" s="1"/>
      <c r="AN6" s="1"/>
    </row>
    <row r="7" spans="1:40">
      <c r="A7" s="55" t="s">
        <v>118</v>
      </c>
      <c r="B7" s="6">
        <v>3.35</v>
      </c>
      <c r="C7" s="6">
        <v>2.2349999999999999</v>
      </c>
      <c r="D7" s="6">
        <f t="shared" si="0"/>
        <v>11.17</v>
      </c>
      <c r="E7" s="4">
        <f t="shared" si="1"/>
        <v>36.088000000000001</v>
      </c>
      <c r="F7" s="77"/>
      <c r="G7" s="78"/>
      <c r="H7" s="77"/>
      <c r="I7" s="78"/>
      <c r="J7" s="77"/>
      <c r="K7" s="78"/>
      <c r="L7" s="77"/>
      <c r="M7" s="78"/>
      <c r="N7" s="75">
        <v>0.9</v>
      </c>
      <c r="O7" s="76">
        <v>2.1</v>
      </c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55" t="s">
        <v>119</v>
      </c>
      <c r="B8" s="6">
        <v>3.35</v>
      </c>
      <c r="C8" s="6">
        <v>2.2349999999999999</v>
      </c>
      <c r="D8" s="6">
        <f t="shared" si="0"/>
        <v>11.17</v>
      </c>
      <c r="E8" s="4">
        <f t="shared" si="1"/>
        <v>36.088000000000001</v>
      </c>
      <c r="F8" s="77"/>
      <c r="G8" s="78"/>
      <c r="H8" s="77"/>
      <c r="I8" s="78"/>
      <c r="J8" s="77"/>
      <c r="K8" s="78"/>
      <c r="L8" s="77"/>
      <c r="M8" s="78"/>
      <c r="N8" s="75">
        <v>0.9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9" spans="1:40">
      <c r="A9" s="55" t="s">
        <v>126</v>
      </c>
      <c r="B9" s="6">
        <v>2.5</v>
      </c>
      <c r="C9" s="6">
        <v>1.6</v>
      </c>
      <c r="D9" s="6">
        <f t="shared" si="0"/>
        <v>8.1999999999999993</v>
      </c>
      <c r="E9" s="4">
        <f t="shared" si="1"/>
        <v>26.199999999999996</v>
      </c>
      <c r="F9" s="77"/>
      <c r="G9" s="78"/>
      <c r="H9" s="77"/>
      <c r="I9" s="78"/>
      <c r="J9" s="77"/>
      <c r="K9" s="78"/>
      <c r="L9" s="77"/>
      <c r="M9" s="78"/>
      <c r="N9" s="75">
        <v>0.8</v>
      </c>
      <c r="O9" s="76">
        <v>2.1</v>
      </c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  <c r="AG9" s="1"/>
      <c r="AH9" s="1"/>
      <c r="AI9" s="1"/>
      <c r="AJ9" s="1"/>
      <c r="AK9" s="1"/>
      <c r="AL9" s="1"/>
      <c r="AM9" s="1"/>
      <c r="AN9" s="1"/>
    </row>
    <row r="10" spans="1:40">
      <c r="A10" s="55" t="s">
        <v>128</v>
      </c>
      <c r="B10" s="6">
        <v>2.5499999999999998</v>
      </c>
      <c r="C10" s="6">
        <v>1.6</v>
      </c>
      <c r="D10" s="6">
        <f t="shared" si="0"/>
        <v>8.3000000000000007</v>
      </c>
      <c r="E10" s="4">
        <f t="shared" si="1"/>
        <v>26.330000000000002</v>
      </c>
      <c r="F10" s="77"/>
      <c r="G10" s="78"/>
      <c r="H10" s="77"/>
      <c r="I10" s="78"/>
      <c r="J10" s="77"/>
      <c r="K10" s="78"/>
      <c r="L10" s="77"/>
      <c r="M10" s="78"/>
      <c r="N10" s="75">
        <v>0.9</v>
      </c>
      <c r="O10" s="76">
        <v>2.1</v>
      </c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G10" s="1"/>
      <c r="AH10" s="1"/>
      <c r="AI10" s="1"/>
      <c r="AJ10" s="1"/>
      <c r="AK10" s="1"/>
      <c r="AL10" s="1"/>
      <c r="AM10" s="1"/>
      <c r="AN10" s="1"/>
    </row>
    <row r="11" spans="1:40">
      <c r="A11" s="55" t="s">
        <v>134</v>
      </c>
      <c r="B11" s="6">
        <v>3.45</v>
      </c>
      <c r="C11" s="6">
        <v>3.82</v>
      </c>
      <c r="D11" s="6">
        <f t="shared" ref="D11:D13" si="2">2*(B11+C11)</f>
        <v>14.54</v>
      </c>
      <c r="E11" s="4">
        <f t="shared" si="1"/>
        <v>44.30599999999999</v>
      </c>
      <c r="F11" s="75">
        <v>3.45</v>
      </c>
      <c r="G11" s="76">
        <v>1</v>
      </c>
      <c r="H11" s="77"/>
      <c r="I11" s="78"/>
      <c r="J11" s="77"/>
      <c r="K11" s="78"/>
      <c r="L11" s="77"/>
      <c r="M11" s="78"/>
      <c r="N11" s="75">
        <v>0.8</v>
      </c>
      <c r="O11" s="76">
        <v>2.1</v>
      </c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G11" s="1"/>
      <c r="AH11" s="1"/>
      <c r="AI11" s="1"/>
      <c r="AJ11" s="1"/>
      <c r="AK11" s="1"/>
      <c r="AL11" s="1"/>
      <c r="AM11" s="1"/>
      <c r="AN11" s="1"/>
    </row>
    <row r="12" spans="1:40">
      <c r="A12" s="55" t="s">
        <v>128</v>
      </c>
      <c r="B12" s="6">
        <v>1.8</v>
      </c>
      <c r="C12" s="6">
        <v>1.8</v>
      </c>
      <c r="D12" s="6">
        <f t="shared" si="2"/>
        <v>7.2</v>
      </c>
      <c r="E12" s="4">
        <f t="shared" si="1"/>
        <v>20.79</v>
      </c>
      <c r="F12" s="75">
        <v>1.8</v>
      </c>
      <c r="G12" s="76">
        <v>1</v>
      </c>
      <c r="H12" s="77"/>
      <c r="I12" s="78"/>
      <c r="J12" s="77"/>
      <c r="K12" s="78"/>
      <c r="L12" s="77"/>
      <c r="M12" s="78"/>
      <c r="N12" s="75">
        <v>0.9</v>
      </c>
      <c r="O12" s="76">
        <v>2.1</v>
      </c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G12" s="1"/>
      <c r="AH12" s="1"/>
      <c r="AI12" s="1"/>
      <c r="AJ12" s="1"/>
      <c r="AK12" s="1"/>
      <c r="AL12" s="1"/>
      <c r="AM12" s="1"/>
      <c r="AN12" s="1"/>
    </row>
    <row r="13" spans="1:40">
      <c r="A13" s="55" t="s">
        <v>136</v>
      </c>
      <c r="B13" s="6">
        <v>1.5</v>
      </c>
      <c r="C13" s="6">
        <v>1.8</v>
      </c>
      <c r="D13" s="6">
        <f t="shared" si="2"/>
        <v>6.6</v>
      </c>
      <c r="E13" s="4">
        <f t="shared" si="1"/>
        <v>19.259999999999998</v>
      </c>
      <c r="F13" s="75">
        <v>1.5</v>
      </c>
      <c r="G13" s="76">
        <v>1</v>
      </c>
      <c r="H13" s="77"/>
      <c r="I13" s="78"/>
      <c r="J13" s="77"/>
      <c r="K13" s="78"/>
      <c r="L13" s="77"/>
      <c r="M13" s="78"/>
      <c r="N13" s="75">
        <v>0.8</v>
      </c>
      <c r="O13" s="76">
        <v>2.1</v>
      </c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G13" s="1"/>
      <c r="AH13" s="1"/>
      <c r="AI13" s="1"/>
      <c r="AJ13" s="1"/>
      <c r="AK13" s="1"/>
      <c r="AL13" s="1"/>
      <c r="AM13" s="1"/>
      <c r="AN13" s="1"/>
    </row>
    <row r="14" spans="1:40">
      <c r="A14" s="55" t="s">
        <v>128</v>
      </c>
      <c r="B14" s="9"/>
      <c r="C14" s="9"/>
      <c r="D14" s="6">
        <v>7.1</v>
      </c>
      <c r="E14" s="4">
        <f t="shared" si="1"/>
        <v>20.499999999999996</v>
      </c>
      <c r="F14" s="75">
        <v>1.75</v>
      </c>
      <c r="G14" s="76">
        <v>1</v>
      </c>
      <c r="H14" s="77"/>
      <c r="I14" s="78"/>
      <c r="J14" s="77"/>
      <c r="K14" s="78"/>
      <c r="L14" s="77"/>
      <c r="M14" s="78"/>
      <c r="N14" s="75">
        <v>0.9</v>
      </c>
      <c r="O14" s="76">
        <v>2.1</v>
      </c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G14" s="1"/>
      <c r="AH14" s="1"/>
      <c r="AI14" s="1"/>
      <c r="AJ14" s="1"/>
      <c r="AK14" s="1"/>
      <c r="AL14" s="1"/>
      <c r="AM14" s="1"/>
      <c r="AN14" s="1"/>
    </row>
    <row r="15" spans="1:40">
      <c r="A15" s="55" t="s">
        <v>134</v>
      </c>
      <c r="B15" s="9"/>
      <c r="C15" s="9"/>
      <c r="D15" s="6">
        <v>15.12</v>
      </c>
      <c r="E15" s="4">
        <f t="shared" si="1"/>
        <v>46.327999999999996</v>
      </c>
      <c r="F15" s="75">
        <v>3.4</v>
      </c>
      <c r="G15" s="76">
        <v>1</v>
      </c>
      <c r="H15" s="77"/>
      <c r="I15" s="78"/>
      <c r="J15" s="77"/>
      <c r="K15" s="78"/>
      <c r="L15" s="77"/>
      <c r="M15" s="78"/>
      <c r="N15" s="75">
        <v>0.8</v>
      </c>
      <c r="O15" s="76">
        <v>2.1</v>
      </c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G15" s="1"/>
      <c r="AH15" s="1"/>
      <c r="AI15" s="1"/>
      <c r="AJ15" s="1"/>
      <c r="AK15" s="1"/>
      <c r="AL15" s="1"/>
      <c r="AM15" s="1"/>
      <c r="AN15" s="1"/>
    </row>
    <row r="16" spans="1:40">
      <c r="A16" s="55" t="s">
        <v>134</v>
      </c>
      <c r="B16" s="6">
        <v>1.95</v>
      </c>
      <c r="C16" s="6">
        <v>1.1000000000000001</v>
      </c>
      <c r="D16" s="6">
        <f t="shared" ref="D16" si="3">2*(B16+C16)</f>
        <v>6.1</v>
      </c>
      <c r="E16" s="4">
        <f t="shared" si="1"/>
        <v>18.259999999999998</v>
      </c>
      <c r="F16" s="75">
        <v>1</v>
      </c>
      <c r="G16" s="76">
        <v>0.8</v>
      </c>
      <c r="H16" s="77"/>
      <c r="I16" s="78"/>
      <c r="J16" s="77"/>
      <c r="K16" s="78"/>
      <c r="L16" s="77"/>
      <c r="M16" s="78"/>
      <c r="N16" s="75">
        <v>0.8</v>
      </c>
      <c r="O16" s="76">
        <v>2.1</v>
      </c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G16" s="1"/>
      <c r="AH16" s="1"/>
      <c r="AI16" s="1"/>
      <c r="AJ16" s="1"/>
      <c r="AK16" s="1"/>
      <c r="AL16" s="1"/>
      <c r="AM16" s="1"/>
      <c r="AN16" s="1"/>
    </row>
    <row r="17" spans="1:40">
      <c r="A17" s="55" t="s">
        <v>128</v>
      </c>
      <c r="B17" s="6">
        <v>2.35</v>
      </c>
      <c r="C17" s="6">
        <v>1.8</v>
      </c>
      <c r="D17" s="6">
        <f t="shared" ref="D17:D18" si="4">2*(B17+C17)</f>
        <v>8.3000000000000007</v>
      </c>
      <c r="E17" s="4">
        <f t="shared" si="1"/>
        <v>25.53</v>
      </c>
      <c r="F17" s="75">
        <v>1</v>
      </c>
      <c r="G17" s="76">
        <v>0.8</v>
      </c>
      <c r="H17" s="77"/>
      <c r="I17" s="78"/>
      <c r="J17" s="77"/>
      <c r="K17" s="78"/>
      <c r="L17" s="77"/>
      <c r="M17" s="78"/>
      <c r="N17" s="75">
        <v>0.9</v>
      </c>
      <c r="O17" s="76">
        <v>2.1</v>
      </c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G17" s="1"/>
      <c r="AH17" s="1"/>
      <c r="AI17" s="1"/>
      <c r="AJ17" s="1"/>
      <c r="AK17" s="1"/>
      <c r="AL17" s="1"/>
      <c r="AM17" s="1"/>
      <c r="AN17" s="1"/>
    </row>
    <row r="18" spans="1:40">
      <c r="A18" s="55" t="s">
        <v>128</v>
      </c>
      <c r="B18" s="6">
        <v>2.35</v>
      </c>
      <c r="C18" s="6">
        <v>1.8</v>
      </c>
      <c r="D18" s="6">
        <f t="shared" si="4"/>
        <v>8.3000000000000007</v>
      </c>
      <c r="E18" s="4">
        <f t="shared" si="1"/>
        <v>25.53</v>
      </c>
      <c r="F18" s="75">
        <v>1</v>
      </c>
      <c r="G18" s="76">
        <v>0.8</v>
      </c>
      <c r="H18" s="77"/>
      <c r="I18" s="78"/>
      <c r="J18" s="77"/>
      <c r="K18" s="78"/>
      <c r="L18" s="77"/>
      <c r="M18" s="78"/>
      <c r="N18" s="75">
        <v>0.9</v>
      </c>
      <c r="O18" s="76">
        <v>2.1</v>
      </c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B18" s="77"/>
      <c r="AC18" s="78"/>
      <c r="AG18" s="1"/>
      <c r="AH18" s="1"/>
      <c r="AI18" s="1"/>
      <c r="AJ18" s="1"/>
      <c r="AK18" s="1"/>
      <c r="AL18" s="1"/>
      <c r="AM18" s="1"/>
      <c r="AN18" s="1"/>
    </row>
    <row r="19" spans="1:40">
      <c r="A19" s="55" t="s">
        <v>147</v>
      </c>
      <c r="B19" s="6">
        <v>3.45</v>
      </c>
      <c r="C19" s="6">
        <v>2.4500000000000002</v>
      </c>
      <c r="D19" s="6">
        <f t="shared" si="0"/>
        <v>11.8</v>
      </c>
      <c r="E19" s="4">
        <f t="shared" si="1"/>
        <v>35.5</v>
      </c>
      <c r="F19" s="77"/>
      <c r="G19" s="78"/>
      <c r="H19" s="77"/>
      <c r="I19" s="78"/>
      <c r="J19" s="77"/>
      <c r="K19" s="78"/>
      <c r="L19" s="77"/>
      <c r="M19" s="78"/>
      <c r="N19" s="75">
        <v>1.1000000000000001</v>
      </c>
      <c r="O19" s="76">
        <v>2.1</v>
      </c>
      <c r="P19" s="75">
        <v>1.1000000000000001</v>
      </c>
      <c r="Q19" s="76">
        <v>2.1</v>
      </c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G19" s="1"/>
      <c r="AH19" s="1"/>
      <c r="AI19" s="1"/>
      <c r="AJ19" s="1"/>
      <c r="AK19" s="1"/>
      <c r="AL19" s="1"/>
      <c r="AM19" s="1"/>
      <c r="AN19" s="1"/>
    </row>
    <row r="20" spans="1:40">
      <c r="A20" s="55" t="s">
        <v>148</v>
      </c>
      <c r="B20" s="6">
        <v>4.55</v>
      </c>
      <c r="C20" s="6">
        <v>2.35</v>
      </c>
      <c r="D20" s="6">
        <f t="shared" si="0"/>
        <v>13.8</v>
      </c>
      <c r="E20" s="4">
        <f t="shared" si="1"/>
        <v>44.61</v>
      </c>
      <c r="F20" s="77"/>
      <c r="G20" s="78"/>
      <c r="H20" s="77"/>
      <c r="I20" s="78"/>
      <c r="J20" s="77"/>
      <c r="K20" s="78"/>
      <c r="L20" s="77"/>
      <c r="M20" s="78"/>
      <c r="N20" s="75">
        <v>1.1000000000000001</v>
      </c>
      <c r="O20" s="76">
        <v>2.1</v>
      </c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G20" s="1"/>
      <c r="AH20" s="1"/>
      <c r="AI20" s="1"/>
      <c r="AJ20" s="1"/>
      <c r="AK20" s="1"/>
      <c r="AL20" s="1"/>
      <c r="AM20" s="1"/>
      <c r="AN20" s="1"/>
    </row>
    <row r="21" spans="1:40">
      <c r="A21" s="141" t="s">
        <v>491</v>
      </c>
      <c r="B21" s="9"/>
      <c r="C21" s="9"/>
      <c r="D21" s="6">
        <f>4.2+21.9</f>
        <v>26.099999999999998</v>
      </c>
      <c r="E21" s="4">
        <f>(D21*($A$3+0.35))-((F21*G21)+(H21*I21)+(J21*K21)+(L21*M21)+(N21*O21)+(P21*Q21)+(R21*S21)+(T21*U21)+(V21*W21)+(X21*Y21)+(Z21*AA21)+(AB21*AC21))</f>
        <v>97.874999999999986</v>
      </c>
      <c r="F21" s="77"/>
      <c r="G21" s="78"/>
      <c r="H21" s="77"/>
      <c r="I21" s="78"/>
      <c r="J21" s="77"/>
      <c r="K21" s="78"/>
      <c r="L21" s="77"/>
      <c r="M21" s="78"/>
      <c r="N21" s="77"/>
      <c r="O21" s="78"/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  <c r="AG21" s="1"/>
      <c r="AH21" s="1"/>
      <c r="AI21" s="1"/>
      <c r="AJ21" s="1"/>
      <c r="AK21" s="1"/>
      <c r="AL21" s="1"/>
      <c r="AM21" s="1"/>
      <c r="AN21" s="1"/>
    </row>
    <row r="24" spans="1:40">
      <c r="A24" s="55" t="s">
        <v>83</v>
      </c>
      <c r="B24" s="155">
        <f>SUM(E5:E21)</f>
        <v>570.29099999999994</v>
      </c>
      <c r="C24" s="156"/>
    </row>
    <row r="25" spans="1:40" hidden="1">
      <c r="A25" s="5" t="s">
        <v>376</v>
      </c>
    </row>
  </sheetData>
  <mergeCells count="15">
    <mergeCell ref="A1:AC1"/>
    <mergeCell ref="X3:Y3"/>
    <mergeCell ref="Z3:AA3"/>
    <mergeCell ref="AB3:AC3"/>
    <mergeCell ref="B24:C24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12">
    <tabColor rgb="FF00FF00"/>
  </sheetPr>
  <dimension ref="A1:AN24"/>
  <sheetViews>
    <sheetView view="pageBreakPreview" zoomScale="60" zoomScaleNormal="85" workbookViewId="0">
      <selection activeCell="AF48" sqref="AF48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360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6" t="s">
        <v>5</v>
      </c>
      <c r="B5" s="6">
        <v>2</v>
      </c>
      <c r="C5" s="6">
        <v>1.42</v>
      </c>
      <c r="D5" s="6">
        <f t="shared" ref="D5:D20" si="0">2*(B5+C5)</f>
        <v>6.84</v>
      </c>
      <c r="E5" s="4">
        <f t="shared" ref="E5:E20" si="1">(D5*$A$3)-((F5*G5)+(H5*I5)+(J5*K5)+(L5*M5)+(N5*O5)+(P5*Q5)+(R5*S5)+(T5*U5)+(V5*W5)+(X5*Y5)+(Z5*AA5)+(AB5*AC5))</f>
        <v>21.576000000000001</v>
      </c>
      <c r="F5" s="77"/>
      <c r="G5" s="78"/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56" t="s">
        <v>114</v>
      </c>
      <c r="B6" s="6">
        <v>2</v>
      </c>
      <c r="C6" s="6">
        <v>2</v>
      </c>
      <c r="D6" s="6">
        <f t="shared" si="0"/>
        <v>8</v>
      </c>
      <c r="E6" s="4">
        <f t="shared" si="1"/>
        <v>25.52</v>
      </c>
      <c r="F6" s="77"/>
      <c r="G6" s="78"/>
      <c r="H6" s="77"/>
      <c r="I6" s="78"/>
      <c r="J6" s="77"/>
      <c r="K6" s="78"/>
      <c r="L6" s="77"/>
      <c r="M6" s="78"/>
      <c r="N6" s="75">
        <v>0.8</v>
      </c>
      <c r="O6" s="76">
        <v>2.1</v>
      </c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G6" s="1"/>
      <c r="AH6" s="1"/>
      <c r="AI6" s="1"/>
      <c r="AJ6" s="1"/>
      <c r="AK6" s="1"/>
      <c r="AL6" s="1"/>
      <c r="AM6" s="1"/>
      <c r="AN6" s="1"/>
    </row>
    <row r="7" spans="1:40">
      <c r="A7" s="56" t="s">
        <v>118</v>
      </c>
      <c r="B7" s="6">
        <v>3.35</v>
      </c>
      <c r="C7" s="6">
        <v>2.2349999999999999</v>
      </c>
      <c r="D7" s="6">
        <f t="shared" si="0"/>
        <v>11.17</v>
      </c>
      <c r="E7" s="4">
        <f t="shared" si="1"/>
        <v>36.088000000000001</v>
      </c>
      <c r="F7" s="77"/>
      <c r="G7" s="78"/>
      <c r="H7" s="77"/>
      <c r="I7" s="78"/>
      <c r="J7" s="77"/>
      <c r="K7" s="78"/>
      <c r="L7" s="77"/>
      <c r="M7" s="78"/>
      <c r="N7" s="75">
        <v>0.9</v>
      </c>
      <c r="O7" s="76">
        <v>2.1</v>
      </c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56" t="s">
        <v>119</v>
      </c>
      <c r="B8" s="6">
        <v>3.35</v>
      </c>
      <c r="C8" s="6">
        <v>2.2349999999999999</v>
      </c>
      <c r="D8" s="6">
        <f t="shared" si="0"/>
        <v>11.17</v>
      </c>
      <c r="E8" s="4">
        <f t="shared" si="1"/>
        <v>36.088000000000001</v>
      </c>
      <c r="F8" s="77"/>
      <c r="G8" s="78"/>
      <c r="H8" s="77"/>
      <c r="I8" s="78"/>
      <c r="J8" s="77"/>
      <c r="K8" s="78"/>
      <c r="L8" s="77"/>
      <c r="M8" s="78"/>
      <c r="N8" s="75">
        <v>0.9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9" spans="1:40">
      <c r="A9" s="56" t="s">
        <v>126</v>
      </c>
      <c r="B9" s="6">
        <v>2.5</v>
      </c>
      <c r="C9" s="6">
        <v>1.6</v>
      </c>
      <c r="D9" s="6">
        <f t="shared" si="0"/>
        <v>8.1999999999999993</v>
      </c>
      <c r="E9" s="4">
        <f t="shared" si="1"/>
        <v>26.199999999999996</v>
      </c>
      <c r="F9" s="77"/>
      <c r="G9" s="78"/>
      <c r="H9" s="77"/>
      <c r="I9" s="78"/>
      <c r="J9" s="77"/>
      <c r="K9" s="78"/>
      <c r="L9" s="77"/>
      <c r="M9" s="78"/>
      <c r="N9" s="75">
        <v>0.8</v>
      </c>
      <c r="O9" s="76">
        <v>2.1</v>
      </c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  <c r="AG9" s="1"/>
      <c r="AH9" s="1"/>
      <c r="AI9" s="1"/>
      <c r="AJ9" s="1"/>
      <c r="AK9" s="1"/>
      <c r="AL9" s="1"/>
      <c r="AM9" s="1"/>
      <c r="AN9" s="1"/>
    </row>
    <row r="10" spans="1:40">
      <c r="A10" s="56" t="s">
        <v>128</v>
      </c>
      <c r="B10" s="6">
        <v>2.5499999999999998</v>
      </c>
      <c r="C10" s="6">
        <v>1.6</v>
      </c>
      <c r="D10" s="6">
        <f t="shared" si="0"/>
        <v>8.3000000000000007</v>
      </c>
      <c r="E10" s="4">
        <f t="shared" si="1"/>
        <v>26.330000000000002</v>
      </c>
      <c r="F10" s="77"/>
      <c r="G10" s="78"/>
      <c r="H10" s="77"/>
      <c r="I10" s="78"/>
      <c r="J10" s="77"/>
      <c r="K10" s="78"/>
      <c r="L10" s="77"/>
      <c r="M10" s="78"/>
      <c r="N10" s="75">
        <v>0.9</v>
      </c>
      <c r="O10" s="76">
        <v>2.1</v>
      </c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G10" s="1"/>
      <c r="AH10" s="1"/>
      <c r="AI10" s="1"/>
      <c r="AJ10" s="1"/>
      <c r="AK10" s="1"/>
      <c r="AL10" s="1"/>
      <c r="AM10" s="1"/>
      <c r="AN10" s="1"/>
    </row>
    <row r="11" spans="1:40">
      <c r="A11" s="56" t="s">
        <v>134</v>
      </c>
      <c r="B11" s="6">
        <v>3.45</v>
      </c>
      <c r="C11" s="6">
        <v>3.82</v>
      </c>
      <c r="D11" s="6">
        <f t="shared" si="0"/>
        <v>14.54</v>
      </c>
      <c r="E11" s="4">
        <f t="shared" si="1"/>
        <v>44.30599999999999</v>
      </c>
      <c r="F11" s="75">
        <v>3.45</v>
      </c>
      <c r="G11" s="76">
        <v>1</v>
      </c>
      <c r="H11" s="77"/>
      <c r="I11" s="78"/>
      <c r="J11" s="77"/>
      <c r="K11" s="78"/>
      <c r="L11" s="77"/>
      <c r="M11" s="78"/>
      <c r="N11" s="75">
        <v>0.8</v>
      </c>
      <c r="O11" s="76">
        <v>2.1</v>
      </c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G11" s="1"/>
      <c r="AH11" s="1"/>
      <c r="AI11" s="1"/>
      <c r="AJ11" s="1"/>
      <c r="AK11" s="1"/>
      <c r="AL11" s="1"/>
      <c r="AM11" s="1"/>
      <c r="AN11" s="1"/>
    </row>
    <row r="12" spans="1:40">
      <c r="A12" s="56" t="s">
        <v>128</v>
      </c>
      <c r="B12" s="6">
        <v>1.8</v>
      </c>
      <c r="C12" s="6">
        <v>1.8</v>
      </c>
      <c r="D12" s="6">
        <f t="shared" si="0"/>
        <v>7.2</v>
      </c>
      <c r="E12" s="4">
        <f t="shared" si="1"/>
        <v>20.79</v>
      </c>
      <c r="F12" s="75">
        <v>1.8</v>
      </c>
      <c r="G12" s="76">
        <v>1</v>
      </c>
      <c r="H12" s="77"/>
      <c r="I12" s="78"/>
      <c r="J12" s="77"/>
      <c r="K12" s="78"/>
      <c r="L12" s="77"/>
      <c r="M12" s="78"/>
      <c r="N12" s="75">
        <v>0.9</v>
      </c>
      <c r="O12" s="76">
        <v>2.1</v>
      </c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G12" s="1"/>
      <c r="AH12" s="1"/>
      <c r="AI12" s="1"/>
      <c r="AJ12" s="1"/>
      <c r="AK12" s="1"/>
      <c r="AL12" s="1"/>
      <c r="AM12" s="1"/>
      <c r="AN12" s="1"/>
    </row>
    <row r="13" spans="1:40">
      <c r="A13" s="56" t="s">
        <v>136</v>
      </c>
      <c r="B13" s="6">
        <v>1.5</v>
      </c>
      <c r="C13" s="6">
        <v>1.8</v>
      </c>
      <c r="D13" s="6">
        <f t="shared" si="0"/>
        <v>6.6</v>
      </c>
      <c r="E13" s="4">
        <f t="shared" si="1"/>
        <v>19.259999999999998</v>
      </c>
      <c r="F13" s="75">
        <v>1.5</v>
      </c>
      <c r="G13" s="76">
        <v>1</v>
      </c>
      <c r="H13" s="77"/>
      <c r="I13" s="78"/>
      <c r="J13" s="77"/>
      <c r="K13" s="78"/>
      <c r="L13" s="77"/>
      <c r="M13" s="78"/>
      <c r="N13" s="75">
        <v>0.8</v>
      </c>
      <c r="O13" s="76">
        <v>2.1</v>
      </c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G13" s="1"/>
      <c r="AH13" s="1"/>
      <c r="AI13" s="1"/>
      <c r="AJ13" s="1"/>
      <c r="AK13" s="1"/>
      <c r="AL13" s="1"/>
      <c r="AM13" s="1"/>
      <c r="AN13" s="1"/>
    </row>
    <row r="14" spans="1:40">
      <c r="A14" s="56" t="s">
        <v>128</v>
      </c>
      <c r="B14" s="9"/>
      <c r="C14" s="9"/>
      <c r="D14" s="6">
        <v>7.1</v>
      </c>
      <c r="E14" s="4">
        <f t="shared" si="1"/>
        <v>20.499999999999996</v>
      </c>
      <c r="F14" s="75">
        <v>1.75</v>
      </c>
      <c r="G14" s="76">
        <v>1</v>
      </c>
      <c r="H14" s="77"/>
      <c r="I14" s="78"/>
      <c r="J14" s="77"/>
      <c r="K14" s="78"/>
      <c r="L14" s="77"/>
      <c r="M14" s="78"/>
      <c r="N14" s="75">
        <v>0.9</v>
      </c>
      <c r="O14" s="76">
        <v>2.1</v>
      </c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G14" s="1"/>
      <c r="AH14" s="1"/>
      <c r="AI14" s="1"/>
      <c r="AJ14" s="1"/>
      <c r="AK14" s="1"/>
      <c r="AL14" s="1"/>
      <c r="AM14" s="1"/>
      <c r="AN14" s="1"/>
    </row>
    <row r="15" spans="1:40">
      <c r="A15" s="56" t="s">
        <v>134</v>
      </c>
      <c r="B15" s="9"/>
      <c r="C15" s="9"/>
      <c r="D15" s="6">
        <v>15.12</v>
      </c>
      <c r="E15" s="4">
        <f t="shared" si="1"/>
        <v>46.327999999999996</v>
      </c>
      <c r="F15" s="75">
        <v>3.4</v>
      </c>
      <c r="G15" s="76">
        <v>1</v>
      </c>
      <c r="H15" s="77"/>
      <c r="I15" s="78"/>
      <c r="J15" s="77"/>
      <c r="K15" s="78"/>
      <c r="L15" s="77"/>
      <c r="M15" s="78"/>
      <c r="N15" s="75">
        <v>0.8</v>
      </c>
      <c r="O15" s="76">
        <v>2.1</v>
      </c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G15" s="1"/>
      <c r="AH15" s="1"/>
      <c r="AI15" s="1"/>
      <c r="AJ15" s="1"/>
      <c r="AK15" s="1"/>
      <c r="AL15" s="1"/>
      <c r="AM15" s="1"/>
      <c r="AN15" s="1"/>
    </row>
    <row r="16" spans="1:40">
      <c r="A16" s="56" t="s">
        <v>134</v>
      </c>
      <c r="B16" s="6">
        <v>1.95</v>
      </c>
      <c r="C16" s="6">
        <v>1.1000000000000001</v>
      </c>
      <c r="D16" s="6">
        <f t="shared" ref="D16:D18" si="2">2*(B16+C16)</f>
        <v>6.1</v>
      </c>
      <c r="E16" s="4">
        <f t="shared" si="1"/>
        <v>18.259999999999998</v>
      </c>
      <c r="F16" s="75">
        <v>1</v>
      </c>
      <c r="G16" s="76">
        <v>0.8</v>
      </c>
      <c r="H16" s="77"/>
      <c r="I16" s="78"/>
      <c r="J16" s="77"/>
      <c r="K16" s="78"/>
      <c r="L16" s="77"/>
      <c r="M16" s="78"/>
      <c r="N16" s="75">
        <v>0.8</v>
      </c>
      <c r="O16" s="76">
        <v>2.1</v>
      </c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G16" s="1"/>
      <c r="AH16" s="1"/>
      <c r="AI16" s="1"/>
      <c r="AJ16" s="1"/>
      <c r="AK16" s="1"/>
      <c r="AL16" s="1"/>
      <c r="AM16" s="1"/>
      <c r="AN16" s="1"/>
    </row>
    <row r="17" spans="1:40">
      <c r="A17" s="56" t="s">
        <v>128</v>
      </c>
      <c r="B17" s="6">
        <v>2.35</v>
      </c>
      <c r="C17" s="6">
        <v>1.8</v>
      </c>
      <c r="D17" s="6">
        <f t="shared" si="2"/>
        <v>8.3000000000000007</v>
      </c>
      <c r="E17" s="4">
        <f t="shared" si="1"/>
        <v>25.53</v>
      </c>
      <c r="F17" s="75">
        <v>1</v>
      </c>
      <c r="G17" s="76">
        <v>0.8</v>
      </c>
      <c r="H17" s="77"/>
      <c r="I17" s="78"/>
      <c r="J17" s="77"/>
      <c r="K17" s="78"/>
      <c r="L17" s="77"/>
      <c r="M17" s="78"/>
      <c r="N17" s="75">
        <v>0.9</v>
      </c>
      <c r="O17" s="76">
        <v>2.1</v>
      </c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G17" s="1"/>
      <c r="AH17" s="1"/>
      <c r="AI17" s="1"/>
      <c r="AJ17" s="1"/>
      <c r="AK17" s="1"/>
      <c r="AL17" s="1"/>
      <c r="AM17" s="1"/>
      <c r="AN17" s="1"/>
    </row>
    <row r="18" spans="1:40">
      <c r="A18" s="56" t="s">
        <v>128</v>
      </c>
      <c r="B18" s="6">
        <v>2.35</v>
      </c>
      <c r="C18" s="6">
        <v>1.8</v>
      </c>
      <c r="D18" s="6">
        <f t="shared" si="2"/>
        <v>8.3000000000000007</v>
      </c>
      <c r="E18" s="4">
        <f t="shared" si="1"/>
        <v>25.53</v>
      </c>
      <c r="F18" s="75">
        <v>1</v>
      </c>
      <c r="G18" s="76">
        <v>0.8</v>
      </c>
      <c r="H18" s="77"/>
      <c r="I18" s="78"/>
      <c r="J18" s="77"/>
      <c r="K18" s="78"/>
      <c r="L18" s="77"/>
      <c r="M18" s="78"/>
      <c r="N18" s="75">
        <v>0.9</v>
      </c>
      <c r="O18" s="76">
        <v>2.1</v>
      </c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B18" s="77"/>
      <c r="AC18" s="78"/>
      <c r="AG18" s="1"/>
      <c r="AH18" s="1"/>
      <c r="AI18" s="1"/>
      <c r="AJ18" s="1"/>
      <c r="AK18" s="1"/>
      <c r="AL18" s="1"/>
      <c r="AM18" s="1"/>
      <c r="AN18" s="1"/>
    </row>
    <row r="19" spans="1:40">
      <c r="A19" s="56" t="s">
        <v>147</v>
      </c>
      <c r="B19" s="6">
        <v>3.45</v>
      </c>
      <c r="C19" s="6">
        <v>2.4500000000000002</v>
      </c>
      <c r="D19" s="6">
        <f t="shared" si="0"/>
        <v>11.8</v>
      </c>
      <c r="E19" s="4">
        <f t="shared" si="1"/>
        <v>35.5</v>
      </c>
      <c r="F19" s="77"/>
      <c r="G19" s="78"/>
      <c r="H19" s="77"/>
      <c r="I19" s="78"/>
      <c r="J19" s="77"/>
      <c r="K19" s="78"/>
      <c r="L19" s="77"/>
      <c r="M19" s="78"/>
      <c r="N19" s="75">
        <v>1.1000000000000001</v>
      </c>
      <c r="O19" s="76">
        <v>2.1</v>
      </c>
      <c r="P19" s="75">
        <v>1.1000000000000001</v>
      </c>
      <c r="Q19" s="76">
        <v>2.1</v>
      </c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G19" s="1"/>
      <c r="AH19" s="1"/>
      <c r="AI19" s="1"/>
      <c r="AJ19" s="1"/>
      <c r="AK19" s="1"/>
      <c r="AL19" s="1"/>
      <c r="AM19" s="1"/>
      <c r="AN19" s="1"/>
    </row>
    <row r="20" spans="1:40">
      <c r="A20" s="56" t="s">
        <v>148</v>
      </c>
      <c r="B20" s="6">
        <v>4.55</v>
      </c>
      <c r="C20" s="6">
        <v>2.35</v>
      </c>
      <c r="D20" s="6">
        <f t="shared" si="0"/>
        <v>13.8</v>
      </c>
      <c r="E20" s="4">
        <f t="shared" si="1"/>
        <v>44.61</v>
      </c>
      <c r="F20" s="77"/>
      <c r="G20" s="78"/>
      <c r="H20" s="77"/>
      <c r="I20" s="78"/>
      <c r="J20" s="77"/>
      <c r="K20" s="78"/>
      <c r="L20" s="77"/>
      <c r="M20" s="78"/>
      <c r="N20" s="75">
        <v>1.1000000000000001</v>
      </c>
      <c r="O20" s="76">
        <v>2.1</v>
      </c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G20" s="1"/>
      <c r="AH20" s="1"/>
      <c r="AI20" s="1"/>
      <c r="AJ20" s="1"/>
      <c r="AK20" s="1"/>
      <c r="AL20" s="1"/>
      <c r="AM20" s="1"/>
      <c r="AN20" s="1"/>
    </row>
    <row r="23" spans="1:40">
      <c r="A23" s="56" t="s">
        <v>83</v>
      </c>
      <c r="B23" s="155">
        <f>SUM(E5:E20)</f>
        <v>472.41599999999994</v>
      </c>
      <c r="C23" s="156"/>
    </row>
    <row r="24" spans="1:40" hidden="1">
      <c r="A24" s="5" t="s">
        <v>377</v>
      </c>
    </row>
  </sheetData>
  <mergeCells count="15">
    <mergeCell ref="A1:AC1"/>
    <mergeCell ref="X3:Y3"/>
    <mergeCell ref="Z3:AA3"/>
    <mergeCell ref="AB3:AC3"/>
    <mergeCell ref="B23:C23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13">
    <tabColor rgb="FF00FF00"/>
  </sheetPr>
  <dimension ref="A1:AN12"/>
  <sheetViews>
    <sheetView zoomScaleNormal="100" workbookViewId="0">
      <selection activeCell="D25" sqref="D25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378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9" t="s">
        <v>24</v>
      </c>
      <c r="B5" s="9"/>
      <c r="C5" s="9"/>
      <c r="D5" s="6">
        <f>178.37-4.2-21.9</f>
        <v>152.27000000000001</v>
      </c>
      <c r="E5" s="4">
        <f>(D5*($A$3+0.35))-((F5*G5)+(H5*I5)+(J5*K5)+(L5*M5)+(N5*O5)+(P5*Q5)+(R5*S5)+(T5*U5)+(V5*W5)+(X5*Y5)+(Z5*AA5)+(AB5*AC5))</f>
        <v>425.47</v>
      </c>
      <c r="F5" s="75">
        <f>7*2</f>
        <v>14</v>
      </c>
      <c r="G5" s="76">
        <v>1</v>
      </c>
      <c r="H5" s="75">
        <f>2*2.2</f>
        <v>4.4000000000000004</v>
      </c>
      <c r="I5" s="76">
        <v>1</v>
      </c>
      <c r="J5" s="75">
        <f>3*1</f>
        <v>3</v>
      </c>
      <c r="K5" s="76">
        <v>0.8</v>
      </c>
      <c r="L5" s="75">
        <f>2.75+3+5+13.9+4.15+7.1+3.35+11.55</f>
        <v>50.8</v>
      </c>
      <c r="M5" s="76">
        <v>1</v>
      </c>
      <c r="N5" s="75">
        <f>2*2.1</f>
        <v>4.2</v>
      </c>
      <c r="O5" s="76">
        <v>2.1</v>
      </c>
      <c r="P5" s="75">
        <v>5</v>
      </c>
      <c r="Q5" s="76">
        <v>2.65</v>
      </c>
      <c r="R5" s="75">
        <v>4.8</v>
      </c>
      <c r="S5" s="76">
        <v>2.65</v>
      </c>
      <c r="T5" s="75">
        <v>0.8</v>
      </c>
      <c r="U5" s="76">
        <v>2.1</v>
      </c>
      <c r="V5" s="75">
        <v>7.75</v>
      </c>
      <c r="W5" s="76">
        <v>2.95</v>
      </c>
      <c r="X5" s="75">
        <v>1.05</v>
      </c>
      <c r="Y5" s="76">
        <v>1.8</v>
      </c>
      <c r="Z5" s="75">
        <v>4.8</v>
      </c>
      <c r="AA5" s="76">
        <v>2.65</v>
      </c>
      <c r="AB5" s="77"/>
      <c r="AC5" s="78"/>
    </row>
    <row r="6" spans="1:40">
      <c r="A6" s="59" t="s">
        <v>25</v>
      </c>
      <c r="B6" s="9"/>
      <c r="C6" s="9"/>
      <c r="D6" s="9"/>
      <c r="E6" s="9"/>
      <c r="F6" s="86"/>
      <c r="G6" s="87"/>
      <c r="H6" s="86"/>
      <c r="I6" s="87"/>
      <c r="J6" s="86"/>
      <c r="K6" s="87"/>
      <c r="L6" s="86"/>
      <c r="M6" s="87"/>
      <c r="N6" s="86"/>
      <c r="O6" s="87"/>
      <c r="P6" s="86"/>
      <c r="Q6" s="87"/>
      <c r="R6" s="86"/>
      <c r="S6" s="87"/>
      <c r="T6" s="86"/>
      <c r="U6" s="87"/>
      <c r="V6" s="86"/>
      <c r="W6" s="87"/>
      <c r="X6" s="86"/>
      <c r="Y6" s="87"/>
      <c r="Z6" s="86"/>
      <c r="AA6" s="87"/>
      <c r="AB6" s="86"/>
      <c r="AC6" s="87"/>
    </row>
    <row r="11" spans="1:40">
      <c r="A11" s="59" t="s">
        <v>83</v>
      </c>
      <c r="B11" s="155">
        <f>SUM(E5:E6)</f>
        <v>425.47</v>
      </c>
      <c r="C11" s="156"/>
    </row>
    <row r="12" spans="1:40" hidden="1">
      <c r="A12" s="5" t="s">
        <v>379</v>
      </c>
    </row>
  </sheetData>
  <mergeCells count="15">
    <mergeCell ref="A1:AC1"/>
    <mergeCell ref="X3:Y3"/>
    <mergeCell ref="Z3:AA3"/>
    <mergeCell ref="AB3:AC3"/>
    <mergeCell ref="B11:C1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Plan14">
    <tabColor rgb="FF00FF00"/>
  </sheetPr>
  <dimension ref="A1:AN43"/>
  <sheetViews>
    <sheetView view="pageBreakPreview" zoomScale="60" zoomScaleNormal="85" workbookViewId="0">
      <selection activeCell="A42" sqref="A42:XFD42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380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61" t="s">
        <v>111</v>
      </c>
      <c r="B5" s="9"/>
      <c r="C5" s="9"/>
      <c r="D5" s="6">
        <v>32.799999999999997</v>
      </c>
      <c r="E5" s="4">
        <f>(D5*$A$3)-((F5*G5)+(H5*I5)+(J5*K5)+(L5*M5)+(N5*O5)+(P5*Q5)+(R5*S5)+(T5*U5)+(V5*W5)+(X5*Y5)+(Z5*AA5)+(AB5*AC5))</f>
        <v>96.609999999999985</v>
      </c>
      <c r="F5" s="75">
        <v>11.55</v>
      </c>
      <c r="G5" s="76">
        <v>1</v>
      </c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5">
        <v>0.8</v>
      </c>
      <c r="Q5" s="76">
        <v>2.1</v>
      </c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61" t="s">
        <v>112</v>
      </c>
      <c r="B6" s="6">
        <v>2</v>
      </c>
      <c r="C6" s="6">
        <v>2</v>
      </c>
      <c r="D6" s="6">
        <f t="shared" ref="D6:D39" si="0">2*(B6+C6)</f>
        <v>8</v>
      </c>
      <c r="E6" s="4">
        <f t="shared" ref="E6:E39" si="1">(D6*$A$3)-((F6*G6)+(H6*I6)+(J6*K6)+(L6*M6)+(N6*O6)+(P6*Q6)+(R6*S6)+(T6*U6)+(V6*W6)+(X6*Y6)+(Z6*AA6)+(AB6*AC6))</f>
        <v>25.52</v>
      </c>
      <c r="F6" s="77"/>
      <c r="G6" s="78"/>
      <c r="H6" s="77"/>
      <c r="I6" s="78"/>
      <c r="J6" s="77"/>
      <c r="K6" s="78"/>
      <c r="L6" s="77"/>
      <c r="M6" s="78"/>
      <c r="N6" s="75">
        <v>0.8</v>
      </c>
      <c r="O6" s="76">
        <v>2.1</v>
      </c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G6" s="1"/>
      <c r="AH6" s="1"/>
      <c r="AK6" s="1"/>
      <c r="AL6" s="1"/>
    </row>
    <row r="7" spans="1:40">
      <c r="A7" s="61" t="s">
        <v>113</v>
      </c>
      <c r="B7" s="6">
        <v>2</v>
      </c>
      <c r="C7" s="6">
        <v>1.6</v>
      </c>
      <c r="D7" s="6">
        <f t="shared" si="0"/>
        <v>7.2</v>
      </c>
      <c r="E7" s="4">
        <f t="shared" si="1"/>
        <v>22.8</v>
      </c>
      <c r="F7" s="77"/>
      <c r="G7" s="78"/>
      <c r="H7" s="77"/>
      <c r="I7" s="78"/>
      <c r="J7" s="77"/>
      <c r="K7" s="78"/>
      <c r="L7" s="77"/>
      <c r="M7" s="78"/>
      <c r="N7" s="75">
        <v>0.8</v>
      </c>
      <c r="O7" s="76">
        <v>2.1</v>
      </c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61" t="s">
        <v>141</v>
      </c>
      <c r="B8" s="6">
        <v>7.05</v>
      </c>
      <c r="C8" s="6">
        <v>5.32</v>
      </c>
      <c r="D8" s="6">
        <f t="shared" si="0"/>
        <v>24.740000000000002</v>
      </c>
      <c r="E8" s="4">
        <f t="shared" si="1"/>
        <v>80.435999999999993</v>
      </c>
      <c r="F8" s="75">
        <v>2</v>
      </c>
      <c r="G8" s="76">
        <v>1</v>
      </c>
      <c r="H8" s="77"/>
      <c r="I8" s="78"/>
      <c r="J8" s="77"/>
      <c r="K8" s="78"/>
      <c r="L8" s="77"/>
      <c r="M8" s="78"/>
      <c r="N8" s="75">
        <v>0.8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9" spans="1:40">
      <c r="A9" s="61" t="s">
        <v>142</v>
      </c>
      <c r="B9" s="6">
        <v>4.5</v>
      </c>
      <c r="C9" s="6">
        <v>3.3</v>
      </c>
      <c r="D9" s="6">
        <f t="shared" si="0"/>
        <v>15.6</v>
      </c>
      <c r="E9" s="4">
        <f t="shared" si="1"/>
        <v>46.96</v>
      </c>
      <c r="F9" s="75">
        <v>2</v>
      </c>
      <c r="G9" s="76">
        <v>1</v>
      </c>
      <c r="H9" s="77"/>
      <c r="I9" s="78"/>
      <c r="J9" s="77"/>
      <c r="K9" s="78"/>
      <c r="L9" s="77"/>
      <c r="M9" s="78"/>
      <c r="N9" s="75">
        <v>0.8</v>
      </c>
      <c r="O9" s="76">
        <v>2.1</v>
      </c>
      <c r="P9" s="75">
        <v>0.8</v>
      </c>
      <c r="Q9" s="76">
        <v>2.1</v>
      </c>
      <c r="R9" s="77"/>
      <c r="S9" s="78"/>
      <c r="T9" s="77"/>
      <c r="U9" s="78"/>
      <c r="V9" s="77"/>
      <c r="W9" s="78"/>
      <c r="X9" s="77"/>
      <c r="Y9" s="78"/>
      <c r="Z9" s="75">
        <v>1.2</v>
      </c>
      <c r="AA9" s="76">
        <v>0.6</v>
      </c>
      <c r="AB9" s="77"/>
      <c r="AC9" s="78"/>
      <c r="AG9" s="1"/>
      <c r="AH9" s="1"/>
      <c r="AI9" s="1"/>
      <c r="AJ9" s="1"/>
      <c r="AK9" s="1"/>
      <c r="AL9" s="1"/>
      <c r="AM9" s="1"/>
      <c r="AN9" s="1"/>
    </row>
    <row r="10" spans="1:40">
      <c r="A10" s="64" t="s">
        <v>115</v>
      </c>
      <c r="B10" s="6">
        <v>4.55</v>
      </c>
      <c r="C10" s="6">
        <v>3.3</v>
      </c>
      <c r="D10" s="6">
        <f t="shared" si="0"/>
        <v>15.7</v>
      </c>
      <c r="E10" s="4">
        <f t="shared" si="1"/>
        <v>51.699999999999996</v>
      </c>
      <c r="F10" s="77"/>
      <c r="G10" s="78"/>
      <c r="H10" s="77"/>
      <c r="I10" s="78"/>
      <c r="J10" s="77"/>
      <c r="K10" s="78"/>
      <c r="L10" s="77"/>
      <c r="M10" s="78"/>
      <c r="N10" s="75">
        <v>0.8</v>
      </c>
      <c r="O10" s="76">
        <v>2.1</v>
      </c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G10" s="1"/>
      <c r="AH10" s="1"/>
      <c r="AI10" s="1"/>
      <c r="AJ10" s="1"/>
      <c r="AK10" s="1"/>
      <c r="AL10" s="1"/>
      <c r="AM10" s="1"/>
      <c r="AN10" s="1"/>
    </row>
    <row r="11" spans="1:40">
      <c r="A11" s="64" t="s">
        <v>116</v>
      </c>
      <c r="B11" s="6">
        <v>3.9</v>
      </c>
      <c r="C11" s="6">
        <v>2.95</v>
      </c>
      <c r="D11" s="6">
        <f t="shared" si="0"/>
        <v>13.7</v>
      </c>
      <c r="E11" s="4">
        <f t="shared" si="1"/>
        <v>44.269999999999996</v>
      </c>
      <c r="F11" s="77"/>
      <c r="G11" s="78"/>
      <c r="H11" s="77"/>
      <c r="I11" s="78"/>
      <c r="J11" s="77"/>
      <c r="K11" s="78"/>
      <c r="L11" s="77"/>
      <c r="M11" s="78"/>
      <c r="N11" s="75">
        <v>1.1000000000000001</v>
      </c>
      <c r="O11" s="76">
        <v>2.1</v>
      </c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G11" s="1"/>
      <c r="AH11" s="1"/>
      <c r="AI11" s="1"/>
      <c r="AJ11" s="1"/>
      <c r="AK11" s="1"/>
      <c r="AL11" s="1"/>
      <c r="AM11" s="1"/>
      <c r="AN11" s="1"/>
    </row>
    <row r="12" spans="1:40">
      <c r="A12" s="64" t="s">
        <v>117</v>
      </c>
      <c r="B12" s="6">
        <v>4</v>
      </c>
      <c r="C12" s="6">
        <v>3.55</v>
      </c>
      <c r="D12" s="6">
        <f t="shared" si="0"/>
        <v>15.1</v>
      </c>
      <c r="E12" s="4">
        <f t="shared" si="1"/>
        <v>47.139999999999993</v>
      </c>
      <c r="F12" s="77"/>
      <c r="G12" s="78"/>
      <c r="H12" s="77"/>
      <c r="I12" s="78"/>
      <c r="J12" s="77"/>
      <c r="K12" s="78"/>
      <c r="L12" s="77"/>
      <c r="M12" s="78"/>
      <c r="N12" s="75">
        <v>1.2</v>
      </c>
      <c r="O12" s="76">
        <v>2.1</v>
      </c>
      <c r="P12" s="75">
        <v>0.8</v>
      </c>
      <c r="Q12" s="76">
        <v>2.1</v>
      </c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G12" s="1"/>
      <c r="AH12" s="1"/>
      <c r="AI12" s="1"/>
      <c r="AJ12" s="1"/>
      <c r="AK12" s="1"/>
      <c r="AL12" s="1"/>
      <c r="AM12" s="1"/>
      <c r="AN12" s="1"/>
    </row>
    <row r="13" spans="1:40">
      <c r="A13" s="64" t="s">
        <v>120</v>
      </c>
      <c r="B13" s="6">
        <v>1.8</v>
      </c>
      <c r="C13" s="6">
        <v>2.95</v>
      </c>
      <c r="D13" s="6">
        <f t="shared" si="0"/>
        <v>9.5</v>
      </c>
      <c r="E13" s="4">
        <f t="shared" si="1"/>
        <v>30.619999999999997</v>
      </c>
      <c r="F13" s="77"/>
      <c r="G13" s="78"/>
      <c r="H13" s="77"/>
      <c r="I13" s="78"/>
      <c r="J13" s="77"/>
      <c r="K13" s="78"/>
      <c r="L13" s="77"/>
      <c r="M13" s="78"/>
      <c r="N13" s="75">
        <v>0.8</v>
      </c>
      <c r="O13" s="76">
        <v>2.1</v>
      </c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G13" s="1"/>
      <c r="AH13" s="1"/>
      <c r="AI13" s="1"/>
      <c r="AJ13" s="1"/>
      <c r="AK13" s="1"/>
      <c r="AL13" s="1"/>
      <c r="AM13" s="1"/>
      <c r="AN13" s="1"/>
    </row>
    <row r="14" spans="1:40">
      <c r="A14" s="64" t="s">
        <v>121</v>
      </c>
      <c r="B14" s="6">
        <v>2.0499999999999998</v>
      </c>
      <c r="C14" s="6">
        <v>2.95</v>
      </c>
      <c r="D14" s="6">
        <f t="shared" si="0"/>
        <v>10</v>
      </c>
      <c r="E14" s="4">
        <f t="shared" si="1"/>
        <v>32.32</v>
      </c>
      <c r="F14" s="77"/>
      <c r="G14" s="78"/>
      <c r="H14" s="77"/>
      <c r="I14" s="78"/>
      <c r="J14" s="77"/>
      <c r="K14" s="78"/>
      <c r="L14" s="77"/>
      <c r="M14" s="78"/>
      <c r="N14" s="75">
        <v>0.8</v>
      </c>
      <c r="O14" s="76">
        <v>2.1</v>
      </c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G14" s="1"/>
      <c r="AH14" s="1"/>
      <c r="AI14" s="1"/>
      <c r="AJ14" s="1"/>
      <c r="AK14" s="1"/>
      <c r="AL14" s="1"/>
      <c r="AM14" s="1"/>
      <c r="AN14" s="1"/>
    </row>
    <row r="15" spans="1:40">
      <c r="A15" s="64" t="s">
        <v>123</v>
      </c>
      <c r="B15" s="6">
        <v>3.35</v>
      </c>
      <c r="C15" s="6">
        <v>2.95</v>
      </c>
      <c r="D15" s="6">
        <f t="shared" si="0"/>
        <v>12.600000000000001</v>
      </c>
      <c r="E15" s="4">
        <f t="shared" si="1"/>
        <v>37.81</v>
      </c>
      <c r="F15" s="75">
        <v>3.35</v>
      </c>
      <c r="G15" s="76">
        <v>1</v>
      </c>
      <c r="H15" s="77"/>
      <c r="I15" s="78"/>
      <c r="J15" s="77"/>
      <c r="K15" s="78"/>
      <c r="L15" s="77"/>
      <c r="M15" s="78"/>
      <c r="N15" s="75">
        <v>0.8</v>
      </c>
      <c r="O15" s="76">
        <v>2.1</v>
      </c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G15" s="1"/>
      <c r="AH15" s="1"/>
      <c r="AI15" s="1"/>
      <c r="AJ15" s="1"/>
      <c r="AK15" s="1"/>
      <c r="AL15" s="1"/>
      <c r="AM15" s="1"/>
      <c r="AN15" s="1"/>
    </row>
    <row r="16" spans="1:40">
      <c r="A16" s="64" t="s">
        <v>124</v>
      </c>
      <c r="B16" s="6">
        <v>5.0999999999999996</v>
      </c>
      <c r="C16" s="6">
        <v>4.0199999999999996</v>
      </c>
      <c r="D16" s="6">
        <f t="shared" si="0"/>
        <v>18.239999999999998</v>
      </c>
      <c r="E16" s="4">
        <f t="shared" si="1"/>
        <v>44.609999999999985</v>
      </c>
      <c r="F16" s="75">
        <v>5.0999999999999996</v>
      </c>
      <c r="G16" s="76">
        <v>1</v>
      </c>
      <c r="H16" s="77"/>
      <c r="I16" s="78"/>
      <c r="J16" s="77"/>
      <c r="K16" s="78"/>
      <c r="L16" s="77"/>
      <c r="M16" s="78"/>
      <c r="N16" s="75">
        <v>1.48</v>
      </c>
      <c r="O16" s="76">
        <v>2.1</v>
      </c>
      <c r="P16" s="75">
        <v>1.48</v>
      </c>
      <c r="Q16" s="76">
        <v>2.1</v>
      </c>
      <c r="R16" s="75">
        <v>2.1</v>
      </c>
      <c r="S16" s="76">
        <v>2.1</v>
      </c>
      <c r="T16" s="75">
        <v>0.8</v>
      </c>
      <c r="U16" s="76">
        <v>2.1</v>
      </c>
      <c r="V16" s="77"/>
      <c r="W16" s="78"/>
      <c r="X16" s="77"/>
      <c r="Y16" s="78"/>
      <c r="Z16" s="77"/>
      <c r="AA16" s="78"/>
      <c r="AB16" s="77"/>
      <c r="AC16" s="78"/>
      <c r="AG16" s="1"/>
      <c r="AH16" s="1"/>
      <c r="AI16" s="1"/>
      <c r="AJ16" s="1"/>
      <c r="AK16" s="1"/>
      <c r="AL16" s="1"/>
      <c r="AM16" s="1"/>
      <c r="AN16" s="1"/>
    </row>
    <row r="17" spans="1:40">
      <c r="A17" s="64" t="s">
        <v>125</v>
      </c>
      <c r="B17" s="6">
        <v>2.5</v>
      </c>
      <c r="C17" s="6">
        <v>4.42</v>
      </c>
      <c r="D17" s="6">
        <f t="shared" si="0"/>
        <v>13.84</v>
      </c>
      <c r="E17" s="4">
        <f t="shared" si="1"/>
        <v>45.375999999999998</v>
      </c>
      <c r="F17" s="77"/>
      <c r="G17" s="78"/>
      <c r="H17" s="77"/>
      <c r="I17" s="78"/>
      <c r="J17" s="77"/>
      <c r="K17" s="78"/>
      <c r="L17" s="77"/>
      <c r="M17" s="78"/>
      <c r="N17" s="75">
        <v>0.8</v>
      </c>
      <c r="O17" s="76">
        <v>2.1</v>
      </c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G17" s="1"/>
      <c r="AH17" s="1"/>
      <c r="AI17" s="1"/>
      <c r="AJ17" s="1"/>
      <c r="AK17" s="1"/>
      <c r="AL17" s="1"/>
      <c r="AM17" s="1"/>
      <c r="AN17" s="1"/>
    </row>
    <row r="18" spans="1:40">
      <c r="A18" s="64" t="s">
        <v>127</v>
      </c>
      <c r="B18" s="6">
        <v>2.5499999999999998</v>
      </c>
      <c r="C18" s="6">
        <v>4.42</v>
      </c>
      <c r="D18" s="6">
        <f t="shared" si="0"/>
        <v>13.94</v>
      </c>
      <c r="E18" s="4">
        <f t="shared" si="1"/>
        <v>45.715999999999994</v>
      </c>
      <c r="F18" s="77"/>
      <c r="G18" s="78"/>
      <c r="H18" s="77"/>
      <c r="I18" s="78"/>
      <c r="J18" s="77"/>
      <c r="K18" s="78"/>
      <c r="L18" s="77"/>
      <c r="M18" s="78"/>
      <c r="N18" s="75">
        <v>0.8</v>
      </c>
      <c r="O18" s="76">
        <v>2.1</v>
      </c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B18" s="77"/>
      <c r="AC18" s="78"/>
      <c r="AG18" s="1"/>
      <c r="AH18" s="1"/>
      <c r="AI18" s="1"/>
      <c r="AJ18" s="1"/>
      <c r="AK18" s="1"/>
      <c r="AL18" s="1"/>
      <c r="AM18" s="1"/>
      <c r="AN18" s="1"/>
    </row>
    <row r="19" spans="1:40">
      <c r="A19" s="64" t="s">
        <v>129</v>
      </c>
      <c r="B19" s="9"/>
      <c r="C19" s="9"/>
      <c r="D19" s="6">
        <v>21.4</v>
      </c>
      <c r="E19" s="4">
        <f t="shared" si="1"/>
        <v>65.079999999999984</v>
      </c>
      <c r="F19" s="75">
        <v>4.1500000000000004</v>
      </c>
      <c r="G19" s="76">
        <v>1</v>
      </c>
      <c r="H19" s="75">
        <v>1.85</v>
      </c>
      <c r="I19" s="76">
        <v>1</v>
      </c>
      <c r="J19" s="77"/>
      <c r="K19" s="78"/>
      <c r="L19" s="77"/>
      <c r="M19" s="78"/>
      <c r="N19" s="75">
        <v>0.8</v>
      </c>
      <c r="O19" s="76">
        <v>2.1</v>
      </c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G19" s="1"/>
      <c r="AH19" s="1"/>
      <c r="AI19" s="1"/>
      <c r="AJ19" s="1"/>
      <c r="AK19" s="1"/>
      <c r="AL19" s="1"/>
      <c r="AM19" s="1"/>
      <c r="AN19" s="1"/>
    </row>
    <row r="20" spans="1:40">
      <c r="A20" s="64" t="s">
        <v>130</v>
      </c>
      <c r="B20" s="6">
        <v>2.5499999999999998</v>
      </c>
      <c r="C20" s="6">
        <v>4.9000000000000004</v>
      </c>
      <c r="D20" s="6">
        <f t="shared" ref="D20:D21" si="2">2*(B20+C20)</f>
        <v>14.9</v>
      </c>
      <c r="E20" s="4">
        <f t="shared" si="1"/>
        <v>45.589999999999996</v>
      </c>
      <c r="F20" s="75">
        <v>1.5</v>
      </c>
      <c r="G20" s="76">
        <v>1</v>
      </c>
      <c r="H20" s="77"/>
      <c r="I20" s="78"/>
      <c r="J20" s="77"/>
      <c r="K20" s="78"/>
      <c r="L20" s="77"/>
      <c r="M20" s="78"/>
      <c r="N20" s="75">
        <v>0.8</v>
      </c>
      <c r="O20" s="76">
        <v>2.1</v>
      </c>
      <c r="P20" s="75">
        <v>0.9</v>
      </c>
      <c r="Q20" s="76">
        <v>2.1</v>
      </c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G20" s="1"/>
      <c r="AH20" s="1"/>
      <c r="AI20" s="1"/>
      <c r="AJ20" s="1"/>
      <c r="AK20" s="1"/>
      <c r="AL20" s="1"/>
      <c r="AM20" s="1"/>
      <c r="AN20" s="1"/>
    </row>
    <row r="21" spans="1:40">
      <c r="A21" s="64" t="s">
        <v>144</v>
      </c>
      <c r="B21" s="6">
        <v>2.5499999999999998</v>
      </c>
      <c r="C21" s="6">
        <v>4.9000000000000004</v>
      </c>
      <c r="D21" s="6">
        <f t="shared" si="2"/>
        <v>14.9</v>
      </c>
      <c r="E21" s="4">
        <f t="shared" si="1"/>
        <v>46.429999999999993</v>
      </c>
      <c r="F21" s="75">
        <v>2.5499999999999998</v>
      </c>
      <c r="G21" s="76">
        <v>1</v>
      </c>
      <c r="H21" s="77"/>
      <c r="I21" s="78"/>
      <c r="J21" s="77"/>
      <c r="K21" s="78"/>
      <c r="L21" s="77"/>
      <c r="M21" s="78"/>
      <c r="N21" s="75">
        <v>0.8</v>
      </c>
      <c r="O21" s="76">
        <v>2.1</v>
      </c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  <c r="AG21" s="1"/>
      <c r="AH21" s="1"/>
      <c r="AI21" s="1"/>
      <c r="AJ21" s="1"/>
      <c r="AK21" s="1"/>
      <c r="AL21" s="1"/>
      <c r="AM21" s="1"/>
      <c r="AN21" s="1"/>
    </row>
    <row r="22" spans="1:40">
      <c r="A22" s="64" t="s">
        <v>131</v>
      </c>
      <c r="B22" s="9"/>
      <c r="C22" s="9"/>
      <c r="D22" s="6">
        <v>14.9</v>
      </c>
      <c r="E22" s="4">
        <f t="shared" si="1"/>
        <v>46.429999999999993</v>
      </c>
      <c r="F22" s="75">
        <v>2.5499999999999998</v>
      </c>
      <c r="G22" s="76">
        <v>1</v>
      </c>
      <c r="H22" s="77"/>
      <c r="I22" s="78"/>
      <c r="J22" s="77"/>
      <c r="K22" s="78"/>
      <c r="L22" s="77"/>
      <c r="M22" s="78"/>
      <c r="N22" s="75">
        <v>0.8</v>
      </c>
      <c r="O22" s="76">
        <v>2.1</v>
      </c>
      <c r="P22" s="77"/>
      <c r="Q22" s="78"/>
      <c r="R22" s="77"/>
      <c r="S22" s="78"/>
      <c r="T22" s="77"/>
      <c r="U22" s="78"/>
      <c r="V22" s="77"/>
      <c r="W22" s="78"/>
      <c r="X22" s="77"/>
      <c r="Y22" s="78"/>
      <c r="Z22" s="77"/>
      <c r="AA22" s="78"/>
      <c r="AB22" s="77"/>
      <c r="AC22" s="78"/>
      <c r="AG22" s="1"/>
      <c r="AH22" s="1"/>
      <c r="AI22" s="1"/>
      <c r="AJ22" s="1"/>
      <c r="AK22" s="1"/>
      <c r="AL22" s="1"/>
      <c r="AM22" s="1"/>
      <c r="AN22" s="1"/>
    </row>
    <row r="23" spans="1:40">
      <c r="A23" s="64" t="s">
        <v>132</v>
      </c>
      <c r="B23" s="6">
        <v>2.2999999999999998</v>
      </c>
      <c r="C23" s="6">
        <v>2.2000000000000002</v>
      </c>
      <c r="D23" s="6">
        <f t="shared" ref="D23:D25" si="3">2*(B23+C23)</f>
        <v>9</v>
      </c>
      <c r="E23" s="4">
        <f t="shared" si="1"/>
        <v>28.919999999999998</v>
      </c>
      <c r="F23" s="77"/>
      <c r="G23" s="78"/>
      <c r="H23" s="77"/>
      <c r="I23" s="78"/>
      <c r="J23" s="77"/>
      <c r="K23" s="78"/>
      <c r="L23" s="77"/>
      <c r="M23" s="78"/>
      <c r="N23" s="75">
        <v>0.8</v>
      </c>
      <c r="O23" s="76">
        <v>2.1</v>
      </c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  <c r="AB23" s="77"/>
      <c r="AC23" s="78"/>
      <c r="AG23" s="1"/>
      <c r="AH23" s="1"/>
      <c r="AI23" s="1"/>
      <c r="AJ23" s="1"/>
      <c r="AK23" s="1"/>
      <c r="AL23" s="1"/>
      <c r="AM23" s="1"/>
      <c r="AN23" s="1"/>
    </row>
    <row r="24" spans="1:40">
      <c r="A24" s="64" t="s">
        <v>133</v>
      </c>
      <c r="B24" s="6">
        <v>5.15</v>
      </c>
      <c r="C24" s="6">
        <v>2.2000000000000002</v>
      </c>
      <c r="D24" s="6">
        <f t="shared" si="3"/>
        <v>14.700000000000001</v>
      </c>
      <c r="E24" s="4">
        <f t="shared" si="1"/>
        <v>46.620000000000005</v>
      </c>
      <c r="F24" s="77"/>
      <c r="G24" s="78"/>
      <c r="H24" s="77"/>
      <c r="I24" s="78"/>
      <c r="J24" s="77"/>
      <c r="K24" s="78"/>
      <c r="L24" s="77"/>
      <c r="M24" s="78"/>
      <c r="N24" s="75">
        <v>0.8</v>
      </c>
      <c r="O24" s="76">
        <v>2.1</v>
      </c>
      <c r="P24" s="75">
        <v>0.8</v>
      </c>
      <c r="Q24" s="76">
        <v>2.1</v>
      </c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  <c r="AG24" s="1"/>
      <c r="AH24" s="1"/>
      <c r="AI24" s="1"/>
      <c r="AJ24" s="1"/>
      <c r="AK24" s="1"/>
      <c r="AL24" s="1"/>
      <c r="AM24" s="1"/>
      <c r="AN24" s="1"/>
    </row>
    <row r="25" spans="1:40">
      <c r="A25" s="64" t="s">
        <v>135</v>
      </c>
      <c r="B25" s="6">
        <v>4.75</v>
      </c>
      <c r="C25" s="6">
        <v>1.89</v>
      </c>
      <c r="D25" s="6">
        <f t="shared" si="3"/>
        <v>13.28</v>
      </c>
      <c r="E25" s="4">
        <f t="shared" si="1"/>
        <v>33.811999999999991</v>
      </c>
      <c r="F25" s="77"/>
      <c r="G25" s="78"/>
      <c r="H25" s="77"/>
      <c r="I25" s="78"/>
      <c r="J25" s="77"/>
      <c r="K25" s="78"/>
      <c r="L25" s="77"/>
      <c r="M25" s="78"/>
      <c r="N25" s="75">
        <v>0.8</v>
      </c>
      <c r="O25" s="76">
        <v>2.1</v>
      </c>
      <c r="P25" s="75">
        <v>0.8</v>
      </c>
      <c r="Q25" s="76">
        <v>2.1</v>
      </c>
      <c r="R25" s="75">
        <v>0.8</v>
      </c>
      <c r="S25" s="76">
        <v>2.1</v>
      </c>
      <c r="T25" s="75">
        <v>0.9</v>
      </c>
      <c r="U25" s="76">
        <v>2.1</v>
      </c>
      <c r="V25" s="75">
        <v>0.9</v>
      </c>
      <c r="W25" s="76">
        <v>2.1</v>
      </c>
      <c r="X25" s="77"/>
      <c r="Y25" s="78"/>
      <c r="Z25" s="77"/>
      <c r="AA25" s="78"/>
      <c r="AB25" s="75">
        <v>1.2</v>
      </c>
      <c r="AC25" s="76">
        <v>2.1</v>
      </c>
      <c r="AG25" s="1"/>
      <c r="AH25" s="1"/>
      <c r="AI25" s="1"/>
      <c r="AJ25" s="1"/>
      <c r="AK25" s="1"/>
      <c r="AL25" s="1"/>
      <c r="AM25" s="1"/>
      <c r="AN25" s="1"/>
    </row>
    <row r="26" spans="1:40">
      <c r="A26" s="64" t="s">
        <v>143</v>
      </c>
      <c r="B26" s="9"/>
      <c r="C26" s="9"/>
      <c r="D26" s="6">
        <v>63.03</v>
      </c>
      <c r="E26" s="4">
        <f t="shared" si="1"/>
        <v>137.83949999999999</v>
      </c>
      <c r="F26" s="75">
        <v>7.75</v>
      </c>
      <c r="G26" s="76">
        <v>2.95</v>
      </c>
      <c r="H26" s="75">
        <v>4.8</v>
      </c>
      <c r="I26" s="76">
        <v>2.65</v>
      </c>
      <c r="J26" s="77"/>
      <c r="K26" s="78"/>
      <c r="L26" s="77"/>
      <c r="M26" s="78"/>
      <c r="N26" s="75">
        <v>4.8</v>
      </c>
      <c r="O26" s="76">
        <v>2.65</v>
      </c>
      <c r="P26" s="75">
        <v>5</v>
      </c>
      <c r="Q26" s="76">
        <v>2.65</v>
      </c>
      <c r="R26" s="75">
        <v>2.1</v>
      </c>
      <c r="S26" s="76">
        <v>2.1</v>
      </c>
      <c r="T26" s="75">
        <v>0.8</v>
      </c>
      <c r="U26" s="76">
        <v>2.1</v>
      </c>
      <c r="V26" s="75">
        <v>0.8</v>
      </c>
      <c r="W26" s="76">
        <v>2.1</v>
      </c>
      <c r="X26" s="86"/>
      <c r="Y26" s="87"/>
      <c r="Z26" s="75">
        <v>1.2</v>
      </c>
      <c r="AA26" s="76">
        <v>2.1</v>
      </c>
      <c r="AB26" s="75">
        <v>2.2000000000000002</v>
      </c>
      <c r="AC26" s="76">
        <v>2.1</v>
      </c>
      <c r="AG26" s="1"/>
      <c r="AH26" s="1"/>
      <c r="AI26" s="1"/>
      <c r="AJ26" s="1"/>
      <c r="AK26" s="1"/>
      <c r="AL26" s="1"/>
      <c r="AM26" s="1"/>
      <c r="AN26" s="1"/>
    </row>
    <row r="27" spans="1:40">
      <c r="A27" s="64" t="s">
        <v>137</v>
      </c>
      <c r="B27" s="6">
        <v>1.95</v>
      </c>
      <c r="C27" s="6">
        <v>3.23</v>
      </c>
      <c r="D27" s="6">
        <f t="shared" ref="D27:D28" si="4">2*(B27+C27)</f>
        <v>10.36</v>
      </c>
      <c r="E27" s="4">
        <f t="shared" si="1"/>
        <v>33.543999999999997</v>
      </c>
      <c r="F27" s="77"/>
      <c r="G27" s="78"/>
      <c r="H27" s="77"/>
      <c r="I27" s="78"/>
      <c r="J27" s="77"/>
      <c r="K27" s="78"/>
      <c r="L27" s="77"/>
      <c r="M27" s="78"/>
      <c r="N27" s="75">
        <v>0.8</v>
      </c>
      <c r="O27" s="76">
        <v>2.1</v>
      </c>
      <c r="P27" s="77"/>
      <c r="Q27" s="78"/>
      <c r="R27" s="77"/>
      <c r="S27" s="78"/>
      <c r="T27" s="77"/>
      <c r="U27" s="78"/>
      <c r="V27" s="77"/>
      <c r="W27" s="78"/>
      <c r="X27" s="77"/>
      <c r="Y27" s="78"/>
      <c r="Z27" s="77"/>
      <c r="AA27" s="78"/>
      <c r="AB27" s="77"/>
      <c r="AC27" s="78"/>
      <c r="AG27" s="1"/>
      <c r="AH27" s="1"/>
      <c r="AI27" s="1"/>
      <c r="AJ27" s="1"/>
      <c r="AK27" s="1"/>
      <c r="AL27" s="1"/>
      <c r="AM27" s="1"/>
      <c r="AN27" s="1"/>
    </row>
    <row r="28" spans="1:40">
      <c r="A28" s="64" t="s">
        <v>138</v>
      </c>
      <c r="B28" s="6">
        <v>1.95</v>
      </c>
      <c r="C28" s="6">
        <v>2.15</v>
      </c>
      <c r="D28" s="6">
        <f t="shared" si="4"/>
        <v>8.1999999999999993</v>
      </c>
      <c r="E28" s="4">
        <f t="shared" si="1"/>
        <v>22.629999999999995</v>
      </c>
      <c r="F28" s="75">
        <v>1.05</v>
      </c>
      <c r="G28" s="76">
        <v>1.8</v>
      </c>
      <c r="H28" s="77"/>
      <c r="I28" s="78"/>
      <c r="J28" s="77"/>
      <c r="K28" s="78"/>
      <c r="L28" s="77"/>
      <c r="M28" s="78"/>
      <c r="N28" s="75">
        <v>0.8</v>
      </c>
      <c r="O28" s="76">
        <v>2.1</v>
      </c>
      <c r="P28" s="75">
        <v>0.8</v>
      </c>
      <c r="Q28" s="76">
        <v>2.1</v>
      </c>
      <c r="R28" s="77"/>
      <c r="S28" s="78"/>
      <c r="T28" s="77"/>
      <c r="U28" s="78"/>
      <c r="V28" s="77"/>
      <c r="W28" s="78"/>
      <c r="X28" s="77"/>
      <c r="Y28" s="78"/>
      <c r="Z28" s="77"/>
      <c r="AA28" s="78"/>
      <c r="AB28" s="77"/>
      <c r="AC28" s="78"/>
      <c r="AG28" s="1"/>
      <c r="AH28" s="1"/>
      <c r="AI28" s="1"/>
      <c r="AJ28" s="1"/>
      <c r="AK28" s="1"/>
      <c r="AL28" s="1"/>
      <c r="AM28" s="1"/>
      <c r="AN28" s="1"/>
    </row>
    <row r="29" spans="1:40">
      <c r="A29" s="64" t="s">
        <v>139</v>
      </c>
      <c r="B29" s="9"/>
      <c r="C29" s="9"/>
      <c r="D29" s="6">
        <v>27.06</v>
      </c>
      <c r="E29" s="4">
        <f t="shared" si="1"/>
        <v>81.590999999999994</v>
      </c>
      <c r="F29" s="75">
        <v>3</v>
      </c>
      <c r="G29" s="76">
        <v>1</v>
      </c>
      <c r="H29" s="77"/>
      <c r="I29" s="78"/>
      <c r="J29" s="77"/>
      <c r="K29" s="78"/>
      <c r="L29" s="77"/>
      <c r="M29" s="78"/>
      <c r="N29" s="75">
        <v>1.33</v>
      </c>
      <c r="O29" s="76">
        <v>2.1</v>
      </c>
      <c r="P29" s="77"/>
      <c r="Q29" s="78"/>
      <c r="R29" s="77"/>
      <c r="S29" s="78"/>
      <c r="T29" s="77"/>
      <c r="U29" s="78"/>
      <c r="V29" s="77"/>
      <c r="W29" s="78"/>
      <c r="X29" s="77"/>
      <c r="Y29" s="78"/>
      <c r="Z29" s="77"/>
      <c r="AA29" s="78"/>
      <c r="AB29" s="75">
        <v>2.2000000000000002</v>
      </c>
      <c r="AC29" s="76">
        <v>2.1</v>
      </c>
      <c r="AG29" s="1"/>
      <c r="AH29" s="1"/>
      <c r="AI29" s="1"/>
      <c r="AJ29" s="1"/>
      <c r="AK29" s="1"/>
      <c r="AL29" s="1"/>
      <c r="AM29" s="1"/>
      <c r="AN29" s="1"/>
    </row>
    <row r="30" spans="1:40">
      <c r="A30" s="64" t="s">
        <v>4</v>
      </c>
      <c r="B30" s="9"/>
      <c r="C30" s="9"/>
      <c r="D30" s="6">
        <v>134.11000000000001</v>
      </c>
      <c r="E30" s="4">
        <f t="shared" si="1"/>
        <v>364.90400000000005</v>
      </c>
      <c r="F30" s="75">
        <v>2</v>
      </c>
      <c r="G30" s="76">
        <v>1</v>
      </c>
      <c r="H30" s="77"/>
      <c r="I30" s="78"/>
      <c r="J30" s="77"/>
      <c r="K30" s="78"/>
      <c r="L30" s="75">
        <v>1.75</v>
      </c>
      <c r="M30" s="76">
        <v>1</v>
      </c>
      <c r="N30" s="75">
        <f>18*0.8</f>
        <v>14.4</v>
      </c>
      <c r="O30" s="76">
        <v>2.1</v>
      </c>
      <c r="P30" s="75">
        <f>4*2.1</f>
        <v>8.4</v>
      </c>
      <c r="Q30" s="76">
        <v>2.1</v>
      </c>
      <c r="R30" s="75">
        <f>7*1.1</f>
        <v>7.7000000000000011</v>
      </c>
      <c r="S30" s="76">
        <v>2.1</v>
      </c>
      <c r="T30" s="75">
        <v>1.2</v>
      </c>
      <c r="U30" s="76">
        <v>2.1</v>
      </c>
      <c r="V30" s="75">
        <f>2*0.9</f>
        <v>1.8</v>
      </c>
      <c r="W30" s="76">
        <v>2.1</v>
      </c>
      <c r="X30" s="75">
        <v>1.1000000000000001</v>
      </c>
      <c r="Y30" s="76">
        <v>2.1</v>
      </c>
      <c r="Z30" s="75">
        <v>1.2</v>
      </c>
      <c r="AA30" s="76">
        <v>0.6</v>
      </c>
      <c r="AB30" s="75">
        <f>1.9+2.2</f>
        <v>4.0999999999999996</v>
      </c>
      <c r="AC30" s="76">
        <f>A3</f>
        <v>3.4</v>
      </c>
      <c r="AG30" s="1"/>
      <c r="AH30" s="1"/>
      <c r="AI30" s="1"/>
      <c r="AJ30" s="1"/>
      <c r="AK30" s="1"/>
      <c r="AL30" s="1"/>
      <c r="AM30" s="1"/>
      <c r="AN30" s="1"/>
    </row>
    <row r="31" spans="1:40">
      <c r="A31" s="64" t="s">
        <v>140</v>
      </c>
      <c r="B31" s="6">
        <v>2.35</v>
      </c>
      <c r="C31" s="6">
        <v>3.42</v>
      </c>
      <c r="D31" s="6">
        <f t="shared" ref="D31" si="5">2*(B31+C31)</f>
        <v>11.54</v>
      </c>
      <c r="E31" s="4">
        <f t="shared" si="1"/>
        <v>37.555999999999997</v>
      </c>
      <c r="F31" s="77"/>
      <c r="G31" s="78"/>
      <c r="H31" s="77"/>
      <c r="I31" s="78"/>
      <c r="J31" s="77"/>
      <c r="K31" s="78"/>
      <c r="L31" s="77"/>
      <c r="M31" s="78"/>
      <c r="N31" s="75">
        <v>0.8</v>
      </c>
      <c r="O31" s="76">
        <v>2.1</v>
      </c>
      <c r="P31" s="77"/>
      <c r="Q31" s="78"/>
      <c r="R31" s="77"/>
      <c r="S31" s="78"/>
      <c r="T31" s="77"/>
      <c r="U31" s="78"/>
      <c r="V31" s="77"/>
      <c r="W31" s="78"/>
      <c r="X31" s="77"/>
      <c r="Y31" s="78"/>
      <c r="Z31" s="77"/>
      <c r="AA31" s="78"/>
      <c r="AB31" s="77"/>
      <c r="AC31" s="78"/>
      <c r="AG31" s="1"/>
      <c r="AH31" s="1"/>
      <c r="AI31" s="1"/>
      <c r="AJ31" s="1"/>
      <c r="AK31" s="1"/>
      <c r="AL31" s="1"/>
      <c r="AM31" s="1"/>
      <c r="AN31" s="1"/>
    </row>
    <row r="32" spans="1:40">
      <c r="A32" s="64" t="s">
        <v>145</v>
      </c>
      <c r="B32" s="9"/>
      <c r="C32" s="9"/>
      <c r="D32" s="6">
        <v>45.7</v>
      </c>
      <c r="E32" s="4">
        <f t="shared" si="1"/>
        <v>144.79</v>
      </c>
      <c r="F32" s="75">
        <v>2.75</v>
      </c>
      <c r="G32" s="76">
        <v>1</v>
      </c>
      <c r="H32" s="77"/>
      <c r="I32" s="78"/>
      <c r="J32" s="77"/>
      <c r="K32" s="78"/>
      <c r="L32" s="77"/>
      <c r="M32" s="78"/>
      <c r="N32" s="75">
        <v>0.9</v>
      </c>
      <c r="O32" s="76">
        <v>2.1</v>
      </c>
      <c r="P32" s="75">
        <v>0.9</v>
      </c>
      <c r="Q32" s="76">
        <v>2.1</v>
      </c>
      <c r="R32" s="75">
        <v>1.1000000000000001</v>
      </c>
      <c r="S32" s="76">
        <v>2.1</v>
      </c>
      <c r="T32" s="77"/>
      <c r="U32" s="78"/>
      <c r="V32" s="77"/>
      <c r="W32" s="78"/>
      <c r="X32" s="77"/>
      <c r="Y32" s="78"/>
      <c r="Z32" s="75">
        <v>1.75</v>
      </c>
      <c r="AA32" s="76">
        <v>1</v>
      </c>
      <c r="AB32" s="77"/>
      <c r="AC32" s="78"/>
      <c r="AG32" s="1"/>
      <c r="AH32" s="1"/>
      <c r="AI32" s="1"/>
      <c r="AJ32" s="1"/>
      <c r="AK32" s="1"/>
      <c r="AL32" s="1"/>
      <c r="AM32" s="1"/>
      <c r="AN32" s="1"/>
    </row>
    <row r="33" spans="1:40">
      <c r="A33" s="64" t="s">
        <v>146</v>
      </c>
      <c r="B33" s="9"/>
      <c r="C33" s="9"/>
      <c r="D33" s="6">
        <v>33.200000000000003</v>
      </c>
      <c r="E33" s="4">
        <f t="shared" si="1"/>
        <v>101.76</v>
      </c>
      <c r="F33" s="75">
        <v>2.2000000000000002</v>
      </c>
      <c r="G33" s="76">
        <v>1</v>
      </c>
      <c r="H33" s="75">
        <v>2.2000000000000002</v>
      </c>
      <c r="I33" s="76">
        <v>1</v>
      </c>
      <c r="J33" s="77"/>
      <c r="K33" s="78"/>
      <c r="L33" s="77"/>
      <c r="M33" s="78"/>
      <c r="N33" s="75">
        <v>1.1000000000000001</v>
      </c>
      <c r="O33" s="76">
        <v>2.1</v>
      </c>
      <c r="P33" s="75">
        <v>2.1</v>
      </c>
      <c r="Q33" s="76">
        <v>2.1</v>
      </c>
      <c r="R33" s="77"/>
      <c r="S33" s="78"/>
      <c r="T33" s="77"/>
      <c r="U33" s="78"/>
      <c r="V33" s="77"/>
      <c r="W33" s="78"/>
      <c r="X33" s="77"/>
      <c r="Y33" s="78"/>
      <c r="Z33" s="77"/>
      <c r="AA33" s="78"/>
      <c r="AB33" s="77"/>
      <c r="AC33" s="78"/>
      <c r="AG33" s="1"/>
      <c r="AH33" s="1"/>
      <c r="AI33" s="1"/>
      <c r="AJ33" s="1"/>
      <c r="AK33" s="1"/>
      <c r="AL33" s="1"/>
      <c r="AM33" s="1"/>
      <c r="AN33" s="1"/>
    </row>
    <row r="34" spans="1:40">
      <c r="A34" s="64" t="s">
        <v>124</v>
      </c>
      <c r="B34" s="6">
        <v>3.45</v>
      </c>
      <c r="C34" s="6">
        <v>3.2</v>
      </c>
      <c r="D34" s="6">
        <f t="shared" si="0"/>
        <v>13.3</v>
      </c>
      <c r="E34" s="4">
        <f t="shared" si="1"/>
        <v>34.089999999999996</v>
      </c>
      <c r="F34" s="77"/>
      <c r="G34" s="78"/>
      <c r="H34" s="77"/>
      <c r="I34" s="78"/>
      <c r="J34" s="77"/>
      <c r="K34" s="78"/>
      <c r="L34" s="77"/>
      <c r="M34" s="78"/>
      <c r="N34" s="75">
        <v>1.1000000000000001</v>
      </c>
      <c r="O34" s="76">
        <v>2.1</v>
      </c>
      <c r="P34" s="75">
        <v>2.1</v>
      </c>
      <c r="Q34" s="76">
        <v>2.1</v>
      </c>
      <c r="R34" s="75">
        <v>2.1</v>
      </c>
      <c r="S34" s="76">
        <v>2.1</v>
      </c>
      <c r="T34" s="77"/>
      <c r="U34" s="78"/>
      <c r="V34" s="77"/>
      <c r="W34" s="78"/>
      <c r="X34" s="77"/>
      <c r="Y34" s="78"/>
      <c r="Z34" s="77"/>
      <c r="AA34" s="78"/>
      <c r="AB34" s="77"/>
      <c r="AC34" s="78"/>
      <c r="AG34" s="1"/>
      <c r="AH34" s="1"/>
      <c r="AI34" s="1"/>
      <c r="AJ34" s="1"/>
      <c r="AK34" s="1"/>
      <c r="AL34" s="1"/>
      <c r="AM34" s="1"/>
      <c r="AN34" s="1"/>
    </row>
    <row r="35" spans="1:40">
      <c r="A35" s="64" t="s">
        <v>149</v>
      </c>
      <c r="B35" s="6">
        <v>3.78</v>
      </c>
      <c r="C35" s="6">
        <v>4.45</v>
      </c>
      <c r="D35" s="6">
        <f t="shared" si="0"/>
        <v>16.46</v>
      </c>
      <c r="E35" s="4">
        <f t="shared" si="1"/>
        <v>53.653999999999996</v>
      </c>
      <c r="F35" s="77"/>
      <c r="G35" s="78"/>
      <c r="H35" s="77"/>
      <c r="I35" s="78"/>
      <c r="J35" s="77"/>
      <c r="K35" s="78"/>
      <c r="L35" s="77"/>
      <c r="M35" s="78"/>
      <c r="N35" s="75">
        <v>1.1000000000000001</v>
      </c>
      <c r="O35" s="76">
        <v>2.1</v>
      </c>
      <c r="P35" s="77"/>
      <c r="Q35" s="78"/>
      <c r="R35" s="77"/>
      <c r="S35" s="78"/>
      <c r="T35" s="77"/>
      <c r="U35" s="78"/>
      <c r="V35" s="77"/>
      <c r="W35" s="78"/>
      <c r="X35" s="77"/>
      <c r="Y35" s="78"/>
      <c r="Z35" s="77"/>
      <c r="AA35" s="78"/>
      <c r="AB35" s="77"/>
      <c r="AC35" s="78"/>
      <c r="AG35" s="1"/>
      <c r="AH35" s="1"/>
      <c r="AI35" s="1"/>
      <c r="AJ35" s="1"/>
      <c r="AK35" s="1"/>
      <c r="AL35" s="1"/>
      <c r="AM35" s="1"/>
      <c r="AN35" s="1"/>
    </row>
    <row r="36" spans="1:40">
      <c r="A36" s="64" t="s">
        <v>150</v>
      </c>
      <c r="B36" s="6">
        <v>7.48</v>
      </c>
      <c r="C36" s="6">
        <v>4.4000000000000004</v>
      </c>
      <c r="D36" s="6">
        <f t="shared" si="0"/>
        <v>23.76</v>
      </c>
      <c r="E36" s="4">
        <f t="shared" si="1"/>
        <v>76.374000000000009</v>
      </c>
      <c r="F36" s="77"/>
      <c r="G36" s="78"/>
      <c r="H36" s="77"/>
      <c r="I36" s="78"/>
      <c r="J36" s="77"/>
      <c r="K36" s="78"/>
      <c r="L36" s="77"/>
      <c r="M36" s="78"/>
      <c r="N36" s="75">
        <v>2.1</v>
      </c>
      <c r="O36" s="76">
        <v>2.1</v>
      </c>
      <c r="P36" s="77"/>
      <c r="Q36" s="78"/>
      <c r="R36" s="77"/>
      <c r="S36" s="78"/>
      <c r="T36" s="77"/>
      <c r="U36" s="78"/>
      <c r="V36" s="77"/>
      <c r="W36" s="78"/>
      <c r="X36" s="77"/>
      <c r="Y36" s="78"/>
      <c r="Z36" s="77"/>
      <c r="AA36" s="78"/>
      <c r="AB36" s="77"/>
      <c r="AC36" s="78"/>
      <c r="AG36" s="1"/>
      <c r="AH36" s="1"/>
      <c r="AI36" s="1"/>
      <c r="AJ36" s="1"/>
      <c r="AK36" s="1"/>
      <c r="AL36" s="1"/>
      <c r="AM36" s="1"/>
      <c r="AN36" s="1"/>
    </row>
    <row r="37" spans="1:40">
      <c r="A37" s="61" t="s">
        <v>151</v>
      </c>
      <c r="B37" s="6">
        <v>2.17</v>
      </c>
      <c r="C37" s="6">
        <v>12.7</v>
      </c>
      <c r="D37" s="6">
        <f t="shared" si="0"/>
        <v>29.74</v>
      </c>
      <c r="E37" s="4">
        <f t="shared" si="1"/>
        <v>97.435999999999979</v>
      </c>
      <c r="F37" s="75">
        <v>2</v>
      </c>
      <c r="G37" s="76">
        <v>1</v>
      </c>
      <c r="H37" s="77"/>
      <c r="I37" s="78"/>
      <c r="J37" s="77"/>
      <c r="K37" s="78"/>
      <c r="L37" s="77"/>
      <c r="M37" s="78"/>
      <c r="N37" s="75">
        <v>0.8</v>
      </c>
      <c r="O37" s="76">
        <v>2.1</v>
      </c>
      <c r="P37" s="77"/>
      <c r="Q37" s="78"/>
      <c r="R37" s="77"/>
      <c r="S37" s="78"/>
      <c r="T37" s="77"/>
      <c r="U37" s="78"/>
      <c r="V37" s="77"/>
      <c r="W37" s="78"/>
      <c r="X37" s="77"/>
      <c r="Y37" s="78"/>
      <c r="Z37" s="77"/>
      <c r="AA37" s="78"/>
      <c r="AB37" s="77"/>
      <c r="AC37" s="78"/>
      <c r="AG37" s="3"/>
      <c r="AH37" s="3"/>
      <c r="AI37" s="3"/>
      <c r="AJ37" s="3"/>
      <c r="AK37" s="3"/>
      <c r="AL37" s="3"/>
      <c r="AM37" s="3"/>
      <c r="AN37" s="3"/>
    </row>
    <row r="38" spans="1:40">
      <c r="A38" s="61" t="s">
        <v>152</v>
      </c>
      <c r="B38" s="6">
        <v>6.6</v>
      </c>
      <c r="C38" s="6">
        <v>12.7</v>
      </c>
      <c r="D38" s="6">
        <f t="shared" si="0"/>
        <v>38.599999999999994</v>
      </c>
      <c r="E38" s="4">
        <f t="shared" si="1"/>
        <v>121.75999999999998</v>
      </c>
      <c r="F38" s="75">
        <v>2</v>
      </c>
      <c r="G38" s="76">
        <v>1</v>
      </c>
      <c r="H38" s="77"/>
      <c r="I38" s="78"/>
      <c r="J38" s="77"/>
      <c r="K38" s="78"/>
      <c r="L38" s="77"/>
      <c r="M38" s="78"/>
      <c r="N38" s="77"/>
      <c r="O38" s="78"/>
      <c r="P38" s="77"/>
      <c r="Q38" s="78"/>
      <c r="R38" s="77"/>
      <c r="S38" s="78"/>
      <c r="T38" s="77"/>
      <c r="U38" s="78"/>
      <c r="V38" s="77"/>
      <c r="W38" s="78"/>
      <c r="X38" s="77"/>
      <c r="Y38" s="78"/>
      <c r="Z38" s="77"/>
      <c r="AA38" s="78"/>
      <c r="AB38" s="75">
        <v>2.2000000000000002</v>
      </c>
      <c r="AC38" s="76">
        <v>3.4</v>
      </c>
    </row>
    <row r="39" spans="1:40">
      <c r="A39" s="61" t="s">
        <v>153</v>
      </c>
      <c r="B39" s="6">
        <v>2.0499999999999998</v>
      </c>
      <c r="C39" s="6">
        <v>12.7</v>
      </c>
      <c r="D39" s="6">
        <f t="shared" si="0"/>
        <v>29.5</v>
      </c>
      <c r="E39" s="4">
        <f t="shared" si="1"/>
        <v>93.99</v>
      </c>
      <c r="F39" s="75">
        <v>2</v>
      </c>
      <c r="G39" s="76">
        <v>1</v>
      </c>
      <c r="H39" s="75">
        <v>2</v>
      </c>
      <c r="I39" s="76">
        <v>1</v>
      </c>
      <c r="J39" s="77"/>
      <c r="K39" s="78"/>
      <c r="L39" s="77"/>
      <c r="M39" s="78"/>
      <c r="N39" s="75">
        <v>1.1000000000000001</v>
      </c>
      <c r="O39" s="76">
        <v>2.1</v>
      </c>
      <c r="P39" s="77"/>
      <c r="Q39" s="78"/>
      <c r="R39" s="77"/>
      <c r="S39" s="78"/>
      <c r="T39" s="77"/>
      <c r="U39" s="78"/>
      <c r="V39" s="77"/>
      <c r="W39" s="78"/>
      <c r="X39" s="77"/>
      <c r="Y39" s="78"/>
      <c r="Z39" s="77"/>
      <c r="AA39" s="78"/>
      <c r="AB39" s="77"/>
      <c r="AC39" s="78"/>
    </row>
    <row r="41" spans="1:40">
      <c r="A41" s="61" t="s">
        <v>83</v>
      </c>
      <c r="B41" s="153">
        <f>SUM(E5:E39)</f>
        <v>2366.6884999999993</v>
      </c>
      <c r="C41" s="154"/>
    </row>
    <row r="42" spans="1:40" hidden="1">
      <c r="A42" s="5" t="s">
        <v>381</v>
      </c>
    </row>
    <row r="43" spans="1:40">
      <c r="B43" s="66"/>
      <c r="C43" s="60"/>
    </row>
  </sheetData>
  <mergeCells count="15">
    <mergeCell ref="A1:AC1"/>
    <mergeCell ref="X3:Y3"/>
    <mergeCell ref="Z3:AA3"/>
    <mergeCell ref="AB3:AC3"/>
    <mergeCell ref="B41:C4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Plan15">
    <tabColor rgb="FF00FF00"/>
  </sheetPr>
  <dimension ref="A1:AN39"/>
  <sheetViews>
    <sheetView view="pageBreakPreview" zoomScale="60" zoomScaleNormal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382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62" t="s">
        <v>115</v>
      </c>
      <c r="B5" s="6">
        <v>4.55</v>
      </c>
      <c r="C5" s="6">
        <v>3.3</v>
      </c>
      <c r="D5" s="6">
        <f t="shared" ref="D5:D8" si="0">2*(B5+C5)</f>
        <v>15.7</v>
      </c>
      <c r="E5" s="4">
        <f t="shared" ref="E5:E8" si="1">(D5*$A$3)-((F5*G5)+(H5*I5)+(J5*K5)+(L5*M5)+(N5*O5)+(P5*Q5)+(R5*S5)+(T5*U5)+(V5*W5)+(X5*Y5)+(Z5*AA5)+(AB5*AC5))</f>
        <v>51.699999999999996</v>
      </c>
      <c r="F5" s="77"/>
      <c r="G5" s="78"/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62" t="s">
        <v>145</v>
      </c>
      <c r="B6" s="9"/>
      <c r="C6" s="9"/>
      <c r="D6" s="6">
        <v>45.7</v>
      </c>
      <c r="E6" s="4">
        <f t="shared" si="1"/>
        <v>144.79</v>
      </c>
      <c r="F6" s="75">
        <v>2.75</v>
      </c>
      <c r="G6" s="76">
        <v>1</v>
      </c>
      <c r="H6" s="77"/>
      <c r="I6" s="78"/>
      <c r="J6" s="77"/>
      <c r="K6" s="78"/>
      <c r="L6" s="77"/>
      <c r="M6" s="78"/>
      <c r="N6" s="75">
        <v>0.9</v>
      </c>
      <c r="O6" s="76">
        <v>2.1</v>
      </c>
      <c r="P6" s="75">
        <v>0.9</v>
      </c>
      <c r="Q6" s="76">
        <v>2.1</v>
      </c>
      <c r="R6" s="75">
        <v>1.1000000000000001</v>
      </c>
      <c r="S6" s="76">
        <v>2.1</v>
      </c>
      <c r="T6" s="77"/>
      <c r="U6" s="78"/>
      <c r="V6" s="77"/>
      <c r="W6" s="78"/>
      <c r="X6" s="77"/>
      <c r="Y6" s="78"/>
      <c r="Z6" s="75">
        <v>1.75</v>
      </c>
      <c r="AA6" s="76">
        <v>1</v>
      </c>
      <c r="AB6" s="77"/>
      <c r="AC6" s="78"/>
      <c r="AG6" s="1"/>
      <c r="AH6" s="1"/>
      <c r="AI6" s="1"/>
      <c r="AJ6" s="1"/>
      <c r="AK6" s="1"/>
      <c r="AL6" s="1"/>
      <c r="AM6" s="1"/>
      <c r="AN6" s="1"/>
    </row>
    <row r="7" spans="1:40">
      <c r="A7" s="62" t="s">
        <v>146</v>
      </c>
      <c r="B7" s="9"/>
      <c r="C7" s="9"/>
      <c r="D7" s="6">
        <v>33.200000000000003</v>
      </c>
      <c r="E7" s="4">
        <f t="shared" si="1"/>
        <v>101.76</v>
      </c>
      <c r="F7" s="75">
        <v>2.2000000000000002</v>
      </c>
      <c r="G7" s="76">
        <v>1</v>
      </c>
      <c r="H7" s="75">
        <v>2.2000000000000002</v>
      </c>
      <c r="I7" s="76">
        <v>1</v>
      </c>
      <c r="J7" s="77"/>
      <c r="K7" s="78"/>
      <c r="L7" s="77"/>
      <c r="M7" s="78"/>
      <c r="N7" s="75">
        <v>1.1000000000000001</v>
      </c>
      <c r="O7" s="76">
        <v>2.1</v>
      </c>
      <c r="P7" s="75">
        <v>2.1</v>
      </c>
      <c r="Q7" s="76">
        <v>2.1</v>
      </c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62" t="s">
        <v>149</v>
      </c>
      <c r="B8" s="6">
        <v>3.78</v>
      </c>
      <c r="C8" s="6">
        <v>4.45</v>
      </c>
      <c r="D8" s="6">
        <f t="shared" si="0"/>
        <v>16.46</v>
      </c>
      <c r="E8" s="4">
        <f t="shared" si="1"/>
        <v>53.653999999999996</v>
      </c>
      <c r="F8" s="77"/>
      <c r="G8" s="78"/>
      <c r="H8" s="77"/>
      <c r="I8" s="78"/>
      <c r="J8" s="77"/>
      <c r="K8" s="78"/>
      <c r="L8" s="77"/>
      <c r="M8" s="78"/>
      <c r="N8" s="75">
        <v>1.1000000000000001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10" spans="1:40">
      <c r="A10" s="62" t="s">
        <v>212</v>
      </c>
      <c r="B10" s="155">
        <f>SUM(E5:E8)</f>
        <v>351.904</v>
      </c>
      <c r="C10" s="156"/>
    </row>
    <row r="11" spans="1:40" ht="5.0999999999999996" customHeight="1"/>
    <row r="12" spans="1:40">
      <c r="A12" s="53" t="s">
        <v>215</v>
      </c>
      <c r="C12" s="60"/>
    </row>
    <row r="16" spans="1:40">
      <c r="A16" s="12" t="s">
        <v>213</v>
      </c>
      <c r="B16" s="3"/>
      <c r="C16" s="3"/>
      <c r="D16" s="3"/>
      <c r="E16" s="3"/>
      <c r="F16" s="147" t="s">
        <v>6</v>
      </c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</row>
    <row r="17" spans="1:29">
      <c r="A17" s="48">
        <v>1.4</v>
      </c>
      <c r="B17" s="3"/>
      <c r="C17" s="3"/>
      <c r="D17" s="3"/>
      <c r="E17" s="3"/>
      <c r="F17" s="148" t="s">
        <v>9</v>
      </c>
      <c r="G17" s="149"/>
      <c r="H17" s="148" t="s">
        <v>12</v>
      </c>
      <c r="I17" s="149"/>
      <c r="J17" s="148" t="s">
        <v>13</v>
      </c>
      <c r="K17" s="149"/>
      <c r="L17" s="148" t="s">
        <v>14</v>
      </c>
      <c r="M17" s="149"/>
      <c r="N17" s="148" t="s">
        <v>15</v>
      </c>
      <c r="O17" s="149"/>
      <c r="P17" s="148" t="s">
        <v>16</v>
      </c>
      <c r="Q17" s="149"/>
      <c r="R17" s="148" t="s">
        <v>17</v>
      </c>
      <c r="S17" s="149"/>
      <c r="T17" s="147" t="s">
        <v>18</v>
      </c>
      <c r="U17" s="147"/>
      <c r="V17" s="147" t="s">
        <v>19</v>
      </c>
      <c r="W17" s="147"/>
      <c r="X17" s="147" t="s">
        <v>20</v>
      </c>
      <c r="Y17" s="147"/>
      <c r="Z17" s="147" t="s">
        <v>22</v>
      </c>
      <c r="AA17" s="147"/>
      <c r="AB17" s="147" t="s">
        <v>23</v>
      </c>
      <c r="AC17" s="147"/>
    </row>
    <row r="18" spans="1:29" ht="43.5">
      <c r="A18" s="1"/>
      <c r="B18" s="10" t="s">
        <v>7</v>
      </c>
      <c r="C18" s="10" t="s">
        <v>8</v>
      </c>
      <c r="D18" s="11" t="s">
        <v>2</v>
      </c>
      <c r="E18" s="11" t="s">
        <v>3</v>
      </c>
      <c r="F18" s="2" t="s">
        <v>10</v>
      </c>
      <c r="G18" s="2" t="s">
        <v>11</v>
      </c>
      <c r="H18" s="2" t="s">
        <v>10</v>
      </c>
      <c r="I18" s="2" t="s">
        <v>11</v>
      </c>
      <c r="J18" s="2" t="s">
        <v>10</v>
      </c>
      <c r="K18" s="2" t="s">
        <v>11</v>
      </c>
      <c r="L18" s="2" t="s">
        <v>10</v>
      </c>
      <c r="M18" s="2" t="s">
        <v>11</v>
      </c>
      <c r="N18" s="2" t="s">
        <v>10</v>
      </c>
      <c r="O18" s="2" t="s">
        <v>11</v>
      </c>
      <c r="P18" s="2" t="s">
        <v>10</v>
      </c>
      <c r="Q18" s="2" t="s">
        <v>11</v>
      </c>
      <c r="R18" s="2" t="s">
        <v>10</v>
      </c>
      <c r="S18" s="2" t="s">
        <v>11</v>
      </c>
      <c r="T18" s="2" t="s">
        <v>10</v>
      </c>
      <c r="U18" s="2" t="s">
        <v>11</v>
      </c>
      <c r="V18" s="2" t="s">
        <v>10</v>
      </c>
      <c r="W18" s="2" t="s">
        <v>11</v>
      </c>
      <c r="X18" s="2" t="s">
        <v>10</v>
      </c>
      <c r="Y18" s="2" t="s">
        <v>11</v>
      </c>
      <c r="Z18" s="2" t="s">
        <v>10</v>
      </c>
      <c r="AA18" s="2" t="s">
        <v>11</v>
      </c>
      <c r="AB18" s="2" t="s">
        <v>10</v>
      </c>
      <c r="AC18" s="2" t="s">
        <v>11</v>
      </c>
    </row>
    <row r="19" spans="1:29">
      <c r="A19" s="62" t="s">
        <v>116</v>
      </c>
      <c r="B19" s="6">
        <v>3.9</v>
      </c>
      <c r="C19" s="6">
        <v>2.95</v>
      </c>
      <c r="D19" s="6">
        <f t="shared" ref="D19:D21" si="2">2*(B19+C19)</f>
        <v>13.7</v>
      </c>
      <c r="E19" s="4">
        <f t="shared" ref="E19:E28" si="3">(D19*$A$17)-((F19*G19)+(H19*I19)+(J19*K19)+(L19*M19)+(N19*O19)+(P19*Q19)+(R19*S19)+(T19*U19)+(V19*W19)+(X19*Y19)+(Z19*AA19)+(AB19*AC19))</f>
        <v>17.639999999999997</v>
      </c>
      <c r="F19" s="77"/>
      <c r="G19" s="78"/>
      <c r="H19" s="77"/>
      <c r="I19" s="78"/>
      <c r="J19" s="77"/>
      <c r="K19" s="78"/>
      <c r="L19" s="77"/>
      <c r="M19" s="78"/>
      <c r="N19" s="75">
        <v>1.1000000000000001</v>
      </c>
      <c r="O19" s="76">
        <v>1.4</v>
      </c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</row>
    <row r="20" spans="1:29">
      <c r="A20" s="62" t="s">
        <v>125</v>
      </c>
      <c r="B20" s="6">
        <v>2.5</v>
      </c>
      <c r="C20" s="6">
        <v>4.42</v>
      </c>
      <c r="D20" s="6">
        <f t="shared" si="2"/>
        <v>13.84</v>
      </c>
      <c r="E20" s="4">
        <f t="shared" si="3"/>
        <v>18.255999999999997</v>
      </c>
      <c r="F20" s="77"/>
      <c r="G20" s="78"/>
      <c r="H20" s="77"/>
      <c r="I20" s="78"/>
      <c r="J20" s="77"/>
      <c r="K20" s="78"/>
      <c r="L20" s="77"/>
      <c r="M20" s="78"/>
      <c r="N20" s="75">
        <v>0.8</v>
      </c>
      <c r="O20" s="76">
        <v>1.4</v>
      </c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</row>
    <row r="21" spans="1:29">
      <c r="A21" s="62" t="s">
        <v>127</v>
      </c>
      <c r="B21" s="6">
        <v>2.5499999999999998</v>
      </c>
      <c r="C21" s="6">
        <v>4.42</v>
      </c>
      <c r="D21" s="6">
        <f t="shared" si="2"/>
        <v>13.94</v>
      </c>
      <c r="E21" s="4">
        <f t="shared" si="3"/>
        <v>18.395999999999997</v>
      </c>
      <c r="F21" s="77"/>
      <c r="G21" s="78"/>
      <c r="H21" s="77"/>
      <c r="I21" s="78"/>
      <c r="J21" s="77"/>
      <c r="K21" s="78"/>
      <c r="L21" s="77"/>
      <c r="M21" s="78"/>
      <c r="N21" s="75">
        <v>0.8</v>
      </c>
      <c r="O21" s="76">
        <v>1.4</v>
      </c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</row>
    <row r="22" spans="1:29">
      <c r="A22" s="62" t="s">
        <v>130</v>
      </c>
      <c r="B22" s="6">
        <v>2.5499999999999998</v>
      </c>
      <c r="C22" s="6">
        <v>4.9000000000000004</v>
      </c>
      <c r="D22" s="6">
        <f t="shared" ref="D22:D23" si="4">2*(B22+C22)</f>
        <v>14.9</v>
      </c>
      <c r="E22" s="4">
        <f t="shared" si="3"/>
        <v>18.48</v>
      </c>
      <c r="F22" s="77"/>
      <c r="G22" s="78"/>
      <c r="H22" s="77"/>
      <c r="I22" s="78"/>
      <c r="J22" s="77"/>
      <c r="K22" s="78"/>
      <c r="L22" s="77"/>
      <c r="M22" s="78"/>
      <c r="N22" s="75">
        <v>0.8</v>
      </c>
      <c r="O22" s="76">
        <v>1.4</v>
      </c>
      <c r="P22" s="75">
        <v>0.9</v>
      </c>
      <c r="Q22" s="76">
        <v>1.4</v>
      </c>
      <c r="R22" s="77"/>
      <c r="S22" s="78"/>
      <c r="T22" s="77"/>
      <c r="U22" s="78"/>
      <c r="V22" s="77"/>
      <c r="W22" s="78"/>
      <c r="X22" s="77"/>
      <c r="Y22" s="78"/>
      <c r="Z22" s="77"/>
      <c r="AA22" s="78"/>
      <c r="AB22" s="77"/>
      <c r="AC22" s="78"/>
    </row>
    <row r="23" spans="1:29">
      <c r="A23" s="62" t="s">
        <v>144</v>
      </c>
      <c r="B23" s="6">
        <v>2.5499999999999998</v>
      </c>
      <c r="C23" s="6">
        <v>4.9000000000000004</v>
      </c>
      <c r="D23" s="6">
        <f t="shared" si="4"/>
        <v>14.9</v>
      </c>
      <c r="E23" s="4">
        <f t="shared" si="3"/>
        <v>19.739999999999998</v>
      </c>
      <c r="F23" s="77"/>
      <c r="G23" s="78"/>
      <c r="H23" s="77"/>
      <c r="I23" s="78"/>
      <c r="J23" s="77"/>
      <c r="K23" s="78"/>
      <c r="L23" s="77"/>
      <c r="M23" s="78"/>
      <c r="N23" s="75">
        <v>0.8</v>
      </c>
      <c r="O23" s="76">
        <v>1.4</v>
      </c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  <c r="AB23" s="77"/>
      <c r="AC23" s="78"/>
    </row>
    <row r="24" spans="1:29">
      <c r="A24" s="62" t="s">
        <v>131</v>
      </c>
      <c r="B24" s="9"/>
      <c r="C24" s="9"/>
      <c r="D24" s="6">
        <v>14.9</v>
      </c>
      <c r="E24" s="4">
        <f t="shared" si="3"/>
        <v>19.739999999999998</v>
      </c>
      <c r="F24" s="77"/>
      <c r="G24" s="78"/>
      <c r="H24" s="77"/>
      <c r="I24" s="78"/>
      <c r="J24" s="77"/>
      <c r="K24" s="78"/>
      <c r="L24" s="77"/>
      <c r="M24" s="78"/>
      <c r="N24" s="75">
        <v>0.8</v>
      </c>
      <c r="O24" s="76">
        <v>1.4</v>
      </c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</row>
    <row r="25" spans="1:29">
      <c r="A25" s="62" t="s">
        <v>133</v>
      </c>
      <c r="B25" s="6">
        <v>5.15</v>
      </c>
      <c r="C25" s="6">
        <v>2.2000000000000002</v>
      </c>
      <c r="D25" s="6">
        <f t="shared" ref="D25" si="5">2*(B25+C25)</f>
        <v>14.700000000000001</v>
      </c>
      <c r="E25" s="4">
        <f t="shared" si="3"/>
        <v>18.340000000000003</v>
      </c>
      <c r="F25" s="77"/>
      <c r="G25" s="78"/>
      <c r="H25" s="77"/>
      <c r="I25" s="78"/>
      <c r="J25" s="77"/>
      <c r="K25" s="78"/>
      <c r="L25" s="77"/>
      <c r="M25" s="78"/>
      <c r="N25" s="75">
        <v>0.8</v>
      </c>
      <c r="O25" s="76">
        <v>1.4</v>
      </c>
      <c r="P25" s="75">
        <v>0.8</v>
      </c>
      <c r="Q25" s="76">
        <v>1.4</v>
      </c>
      <c r="R25" s="77"/>
      <c r="S25" s="78"/>
      <c r="T25" s="77"/>
      <c r="U25" s="78"/>
      <c r="V25" s="77"/>
      <c r="W25" s="78"/>
      <c r="X25" s="77"/>
      <c r="Y25" s="78"/>
      <c r="Z25" s="77"/>
      <c r="AA25" s="78"/>
      <c r="AB25" s="77"/>
      <c r="AC25" s="78"/>
    </row>
    <row r="26" spans="1:29">
      <c r="A26" s="62" t="s">
        <v>4</v>
      </c>
      <c r="B26" s="9"/>
      <c r="C26" s="9"/>
      <c r="D26" s="6">
        <v>134.11000000000001</v>
      </c>
      <c r="E26" s="4">
        <f t="shared" si="3"/>
        <v>133.154</v>
      </c>
      <c r="F26" s="77"/>
      <c r="G26" s="78"/>
      <c r="H26" s="77"/>
      <c r="I26" s="78"/>
      <c r="J26" s="77"/>
      <c r="K26" s="78"/>
      <c r="L26" s="77"/>
      <c r="M26" s="78"/>
      <c r="N26" s="75">
        <f>18*0.8</f>
        <v>14.4</v>
      </c>
      <c r="O26" s="76">
        <v>1.4</v>
      </c>
      <c r="P26" s="75">
        <f>4*2.1</f>
        <v>8.4</v>
      </c>
      <c r="Q26" s="76">
        <v>1.4</v>
      </c>
      <c r="R26" s="75">
        <f>7*1.1</f>
        <v>7.7000000000000011</v>
      </c>
      <c r="S26" s="76">
        <v>1.4</v>
      </c>
      <c r="T26" s="75">
        <v>1.2</v>
      </c>
      <c r="U26" s="76">
        <v>1.4</v>
      </c>
      <c r="V26" s="75">
        <f>2*0.9</f>
        <v>1.8</v>
      </c>
      <c r="W26" s="76">
        <v>1.4</v>
      </c>
      <c r="X26" s="75">
        <v>1.1000000000000001</v>
      </c>
      <c r="Y26" s="76">
        <v>1.4</v>
      </c>
      <c r="Z26" s="75">
        <f>1.2</f>
        <v>1.2</v>
      </c>
      <c r="AA26" s="76">
        <f>A17-1.05</f>
        <v>0.34999999999999987</v>
      </c>
      <c r="AB26" s="75">
        <f>1.9+2.2</f>
        <v>4.0999999999999996</v>
      </c>
      <c r="AC26" s="76">
        <f>A17</f>
        <v>1.4</v>
      </c>
    </row>
    <row r="27" spans="1:29">
      <c r="A27" s="62" t="s">
        <v>140</v>
      </c>
      <c r="B27" s="6">
        <v>2.35</v>
      </c>
      <c r="C27" s="6">
        <v>3.42</v>
      </c>
      <c r="D27" s="6">
        <f t="shared" ref="D27:D28" si="6">2*(B27+C27)</f>
        <v>11.54</v>
      </c>
      <c r="E27" s="4">
        <f t="shared" si="3"/>
        <v>15.036</v>
      </c>
      <c r="F27" s="77"/>
      <c r="G27" s="78"/>
      <c r="H27" s="77"/>
      <c r="I27" s="78"/>
      <c r="J27" s="77"/>
      <c r="K27" s="78"/>
      <c r="L27" s="77"/>
      <c r="M27" s="78"/>
      <c r="N27" s="75">
        <v>0.8</v>
      </c>
      <c r="O27" s="76">
        <v>1.4</v>
      </c>
      <c r="P27" s="77"/>
      <c r="Q27" s="78"/>
      <c r="R27" s="77"/>
      <c r="S27" s="78"/>
      <c r="T27" s="77"/>
      <c r="U27" s="78"/>
      <c r="V27" s="77"/>
      <c r="W27" s="78"/>
      <c r="X27" s="77"/>
      <c r="Y27" s="78"/>
      <c r="Z27" s="77"/>
      <c r="AA27" s="78"/>
      <c r="AB27" s="77"/>
      <c r="AC27" s="78"/>
    </row>
    <row r="28" spans="1:29">
      <c r="A28" s="63" t="s">
        <v>152</v>
      </c>
      <c r="B28" s="6">
        <v>6.6</v>
      </c>
      <c r="C28" s="6">
        <v>12.7</v>
      </c>
      <c r="D28" s="6">
        <f t="shared" si="6"/>
        <v>38.599999999999994</v>
      </c>
      <c r="E28" s="4">
        <f t="shared" si="3"/>
        <v>50.959999999999994</v>
      </c>
      <c r="F28" s="77"/>
      <c r="G28" s="78"/>
      <c r="H28" s="77"/>
      <c r="I28" s="78"/>
      <c r="J28" s="77"/>
      <c r="K28" s="78"/>
      <c r="L28" s="77"/>
      <c r="M28" s="78"/>
      <c r="N28" s="77"/>
      <c r="O28" s="78"/>
      <c r="P28" s="77"/>
      <c r="Q28" s="78"/>
      <c r="R28" s="77"/>
      <c r="S28" s="78"/>
      <c r="T28" s="77"/>
      <c r="U28" s="78"/>
      <c r="V28" s="77"/>
      <c r="W28" s="78"/>
      <c r="X28" s="77"/>
      <c r="Y28" s="78"/>
      <c r="Z28" s="77"/>
      <c r="AA28" s="78"/>
      <c r="AB28" s="75">
        <v>2.2000000000000002</v>
      </c>
      <c r="AC28" s="76">
        <v>1.4</v>
      </c>
    </row>
    <row r="30" spans="1:29">
      <c r="A30" s="62" t="s">
        <v>212</v>
      </c>
      <c r="B30" s="155">
        <f>SUM(E19:E28)</f>
        <v>329.74199999999996</v>
      </c>
      <c r="C30" s="156"/>
    </row>
    <row r="31" spans="1:29" ht="5.0999999999999996" customHeight="1"/>
    <row r="32" spans="1:29">
      <c r="A32" s="53" t="s">
        <v>216</v>
      </c>
    </row>
    <row r="33" spans="1:5">
      <c r="E33" s="65"/>
    </row>
    <row r="36" spans="1:5">
      <c r="A36" s="62" t="s">
        <v>214</v>
      </c>
      <c r="B36" s="155">
        <f>B10+B30</f>
        <v>681.64599999999996</v>
      </c>
      <c r="C36" s="156"/>
    </row>
    <row r="37" spans="1:5" hidden="1">
      <c r="A37" s="5" t="s">
        <v>383</v>
      </c>
    </row>
    <row r="39" spans="1:5">
      <c r="B39" s="39"/>
    </row>
  </sheetData>
  <mergeCells count="30">
    <mergeCell ref="A1:AC1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B10:C10"/>
    <mergeCell ref="F16:AC16"/>
    <mergeCell ref="AB17:AC17"/>
    <mergeCell ref="B30:C30"/>
    <mergeCell ref="B36:C36"/>
    <mergeCell ref="P17:Q17"/>
    <mergeCell ref="R17:S17"/>
    <mergeCell ref="T17:U17"/>
    <mergeCell ref="V17:W17"/>
    <mergeCell ref="X17:Y17"/>
    <mergeCell ref="Z17:AA17"/>
    <mergeCell ref="F17:G17"/>
    <mergeCell ref="H17:I17"/>
    <mergeCell ref="J17:K17"/>
    <mergeCell ref="L17:M17"/>
    <mergeCell ref="N17:O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16">
    <tabColor rgb="FF00FF00"/>
  </sheetPr>
  <dimension ref="A1:P7"/>
  <sheetViews>
    <sheetView zoomScale="85" zoomScaleNormal="85" workbookViewId="0">
      <selection activeCell="A7" sqref="A7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384</v>
      </c>
      <c r="B1" s="147"/>
      <c r="C1" s="147"/>
      <c r="D1" s="147"/>
      <c r="E1" s="147"/>
    </row>
    <row r="2" spans="1:16" ht="30" customHeight="1">
      <c r="A2" s="1"/>
      <c r="B2" s="27" t="s">
        <v>347</v>
      </c>
      <c r="C2" s="10" t="s">
        <v>7</v>
      </c>
      <c r="D2" s="27" t="s">
        <v>8</v>
      </c>
      <c r="E2" s="19" t="s">
        <v>2</v>
      </c>
      <c r="I2" s="1"/>
      <c r="J2" s="1"/>
      <c r="K2" s="1"/>
      <c r="L2" s="1"/>
      <c r="M2" s="1"/>
      <c r="N2" s="1"/>
      <c r="O2" s="1"/>
      <c r="P2" s="1"/>
    </row>
    <row r="3" spans="1:16">
      <c r="A3" s="131" t="s">
        <v>348</v>
      </c>
      <c r="B3" s="129">
        <v>0</v>
      </c>
      <c r="C3" s="6">
        <v>0</v>
      </c>
      <c r="D3" s="6">
        <v>0</v>
      </c>
      <c r="E3" s="6">
        <v>0</v>
      </c>
      <c r="I3" s="1"/>
      <c r="J3" s="1"/>
      <c r="K3" s="1"/>
      <c r="L3" s="1"/>
      <c r="M3" s="1"/>
      <c r="N3" s="1"/>
      <c r="O3" s="1"/>
      <c r="P3" s="1"/>
    </row>
    <row r="4" spans="1:16">
      <c r="A4" s="131" t="s">
        <v>349</v>
      </c>
      <c r="B4" s="129">
        <v>0</v>
      </c>
      <c r="C4" s="6">
        <v>0</v>
      </c>
      <c r="D4" s="6">
        <v>0</v>
      </c>
      <c r="E4" s="6">
        <v>0</v>
      </c>
      <c r="I4" s="1"/>
      <c r="J4" s="1"/>
      <c r="M4" s="1"/>
      <c r="N4" s="1"/>
    </row>
    <row r="5" spans="1:16">
      <c r="I5" s="1"/>
      <c r="J5" s="1"/>
      <c r="K5" s="1"/>
      <c r="L5" s="1"/>
      <c r="M5" s="1"/>
      <c r="N5" s="1"/>
      <c r="O5" s="1"/>
      <c r="P5" s="1"/>
    </row>
    <row r="6" spans="1:16">
      <c r="A6" s="131" t="s">
        <v>83</v>
      </c>
      <c r="B6" s="157">
        <f>SUM(E3:E4)</f>
        <v>0</v>
      </c>
      <c r="C6" s="158"/>
    </row>
    <row r="7" spans="1:16">
      <c r="A7" s="5" t="s">
        <v>385</v>
      </c>
    </row>
  </sheetData>
  <mergeCells count="2">
    <mergeCell ref="B6:C6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Plan17">
    <tabColor rgb="FF00FF00"/>
  </sheetPr>
  <dimension ref="A1:AN56"/>
  <sheetViews>
    <sheetView view="pageBreakPreview" zoomScale="60" zoomScaleNormal="85" workbookViewId="0">
      <selection activeCell="A56" sqref="A56:XFD56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386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64" t="s">
        <v>111</v>
      </c>
      <c r="B5" s="9"/>
      <c r="C5" s="9"/>
      <c r="D5" s="6">
        <v>32.799999999999997</v>
      </c>
      <c r="E5" s="4">
        <f>(D5*$A$3)-((F5*G5)+(H5*I5)+(J5*K5)+(L5*M5)+(N5*O5)+(P5*Q5)+(R5*S5)+(T5*U5)+(V5*W5)+(X5*Y5)+(Z5*AA5)+(AB5*AC5))</f>
        <v>96.609999999999985</v>
      </c>
      <c r="F5" s="75">
        <v>11.55</v>
      </c>
      <c r="G5" s="76">
        <v>1</v>
      </c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5">
        <v>0.8</v>
      </c>
      <c r="Q5" s="76">
        <v>2.1</v>
      </c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64" t="s">
        <v>112</v>
      </c>
      <c r="B6" s="6">
        <v>2</v>
      </c>
      <c r="C6" s="6">
        <v>2</v>
      </c>
      <c r="D6" s="6">
        <f t="shared" ref="D6:D25" si="0">2*(B6+C6)</f>
        <v>8</v>
      </c>
      <c r="E6" s="4">
        <f t="shared" ref="E6:E25" si="1">(D6*$A$3)-((F6*G6)+(H6*I6)+(J6*K6)+(L6*M6)+(N6*O6)+(P6*Q6)+(R6*S6)+(T6*U6)+(V6*W6)+(X6*Y6)+(Z6*AA6)+(AB6*AC6))</f>
        <v>25.52</v>
      </c>
      <c r="F6" s="77"/>
      <c r="G6" s="78"/>
      <c r="H6" s="77"/>
      <c r="I6" s="78"/>
      <c r="J6" s="77"/>
      <c r="K6" s="78"/>
      <c r="L6" s="77"/>
      <c r="M6" s="78"/>
      <c r="N6" s="75">
        <v>0.8</v>
      </c>
      <c r="O6" s="76">
        <v>2.1</v>
      </c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G6" s="1"/>
      <c r="AH6" s="1"/>
      <c r="AK6" s="1"/>
      <c r="AL6" s="1"/>
    </row>
    <row r="7" spans="1:40">
      <c r="A7" s="64" t="s">
        <v>113</v>
      </c>
      <c r="B7" s="6">
        <v>2</v>
      </c>
      <c r="C7" s="6">
        <v>1.6</v>
      </c>
      <c r="D7" s="6">
        <f t="shared" si="0"/>
        <v>7.2</v>
      </c>
      <c r="E7" s="4">
        <f t="shared" si="1"/>
        <v>22.8</v>
      </c>
      <c r="F7" s="77"/>
      <c r="G7" s="78"/>
      <c r="H7" s="77"/>
      <c r="I7" s="78"/>
      <c r="J7" s="77"/>
      <c r="K7" s="78"/>
      <c r="L7" s="77"/>
      <c r="M7" s="78"/>
      <c r="N7" s="75">
        <v>0.8</v>
      </c>
      <c r="O7" s="76">
        <v>2.1</v>
      </c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64" t="s">
        <v>141</v>
      </c>
      <c r="B8" s="6">
        <v>7.05</v>
      </c>
      <c r="C8" s="6">
        <v>5.32</v>
      </c>
      <c r="D8" s="6">
        <f t="shared" si="0"/>
        <v>24.740000000000002</v>
      </c>
      <c r="E8" s="4">
        <f t="shared" si="1"/>
        <v>80.435999999999993</v>
      </c>
      <c r="F8" s="75">
        <v>2</v>
      </c>
      <c r="G8" s="76">
        <v>1</v>
      </c>
      <c r="H8" s="77"/>
      <c r="I8" s="78"/>
      <c r="J8" s="77"/>
      <c r="K8" s="78"/>
      <c r="L8" s="77"/>
      <c r="M8" s="78"/>
      <c r="N8" s="75">
        <v>0.8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9" spans="1:40">
      <c r="A9" s="64" t="s">
        <v>142</v>
      </c>
      <c r="B9" s="6">
        <v>4.5</v>
      </c>
      <c r="C9" s="6">
        <v>3.3</v>
      </c>
      <c r="D9" s="6">
        <f t="shared" si="0"/>
        <v>15.6</v>
      </c>
      <c r="E9" s="4">
        <f t="shared" si="1"/>
        <v>46.96</v>
      </c>
      <c r="F9" s="75">
        <v>2</v>
      </c>
      <c r="G9" s="76">
        <v>1</v>
      </c>
      <c r="H9" s="77"/>
      <c r="I9" s="78"/>
      <c r="J9" s="77"/>
      <c r="K9" s="78"/>
      <c r="L9" s="77"/>
      <c r="M9" s="78"/>
      <c r="N9" s="75">
        <v>0.8</v>
      </c>
      <c r="O9" s="76">
        <v>2.1</v>
      </c>
      <c r="P9" s="75">
        <v>0.8</v>
      </c>
      <c r="Q9" s="76">
        <v>2.1</v>
      </c>
      <c r="R9" s="77"/>
      <c r="S9" s="78"/>
      <c r="T9" s="77"/>
      <c r="U9" s="78"/>
      <c r="V9" s="77"/>
      <c r="W9" s="78"/>
      <c r="X9" s="77"/>
      <c r="Y9" s="78"/>
      <c r="Z9" s="75">
        <v>1.2</v>
      </c>
      <c r="AA9" s="76">
        <v>0.6</v>
      </c>
      <c r="AB9" s="77"/>
      <c r="AC9" s="78"/>
      <c r="AG9" s="1"/>
      <c r="AH9" s="1"/>
      <c r="AI9" s="1"/>
      <c r="AJ9" s="1"/>
      <c r="AK9" s="1"/>
      <c r="AL9" s="1"/>
      <c r="AM9" s="1"/>
      <c r="AN9" s="1"/>
    </row>
    <row r="10" spans="1:40">
      <c r="A10" s="64" t="s">
        <v>117</v>
      </c>
      <c r="B10" s="6">
        <v>4</v>
      </c>
      <c r="C10" s="6">
        <v>3.55</v>
      </c>
      <c r="D10" s="6">
        <f t="shared" si="0"/>
        <v>15.1</v>
      </c>
      <c r="E10" s="4">
        <f t="shared" si="1"/>
        <v>47.139999999999993</v>
      </c>
      <c r="F10" s="77"/>
      <c r="G10" s="78"/>
      <c r="H10" s="77"/>
      <c r="I10" s="78"/>
      <c r="J10" s="77"/>
      <c r="K10" s="78"/>
      <c r="L10" s="77"/>
      <c r="M10" s="78"/>
      <c r="N10" s="75">
        <v>1.2</v>
      </c>
      <c r="O10" s="76">
        <v>2.1</v>
      </c>
      <c r="P10" s="75">
        <v>0.8</v>
      </c>
      <c r="Q10" s="76">
        <v>2.1</v>
      </c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G10" s="1"/>
      <c r="AH10" s="1"/>
      <c r="AI10" s="1"/>
      <c r="AJ10" s="1"/>
      <c r="AK10" s="1"/>
      <c r="AL10" s="1"/>
      <c r="AM10" s="1"/>
      <c r="AN10" s="1"/>
    </row>
    <row r="11" spans="1:40">
      <c r="A11" s="64" t="s">
        <v>120</v>
      </c>
      <c r="B11" s="6">
        <v>1.8</v>
      </c>
      <c r="C11" s="6">
        <v>2.95</v>
      </c>
      <c r="D11" s="6">
        <f t="shared" si="0"/>
        <v>9.5</v>
      </c>
      <c r="E11" s="4">
        <f t="shared" si="1"/>
        <v>30.619999999999997</v>
      </c>
      <c r="F11" s="77"/>
      <c r="G11" s="78"/>
      <c r="H11" s="77"/>
      <c r="I11" s="78"/>
      <c r="J11" s="77"/>
      <c r="K11" s="78"/>
      <c r="L11" s="77"/>
      <c r="M11" s="78"/>
      <c r="N11" s="75">
        <v>0.8</v>
      </c>
      <c r="O11" s="76">
        <v>2.1</v>
      </c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G11" s="1"/>
      <c r="AH11" s="1"/>
      <c r="AI11" s="1"/>
      <c r="AJ11" s="1"/>
      <c r="AK11" s="1"/>
      <c r="AL11" s="1"/>
      <c r="AM11" s="1"/>
      <c r="AN11" s="1"/>
    </row>
    <row r="12" spans="1:40">
      <c r="A12" s="64" t="s">
        <v>121</v>
      </c>
      <c r="B12" s="6">
        <v>2.0499999999999998</v>
      </c>
      <c r="C12" s="6">
        <v>2.95</v>
      </c>
      <c r="D12" s="6">
        <f t="shared" si="0"/>
        <v>10</v>
      </c>
      <c r="E12" s="4">
        <f t="shared" si="1"/>
        <v>32.32</v>
      </c>
      <c r="F12" s="77"/>
      <c r="G12" s="78"/>
      <c r="H12" s="77"/>
      <c r="I12" s="78"/>
      <c r="J12" s="77"/>
      <c r="K12" s="78"/>
      <c r="L12" s="77"/>
      <c r="M12" s="78"/>
      <c r="N12" s="75">
        <v>0.8</v>
      </c>
      <c r="O12" s="76">
        <v>2.1</v>
      </c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G12" s="1"/>
      <c r="AH12" s="1"/>
      <c r="AI12" s="1"/>
      <c r="AJ12" s="1"/>
      <c r="AK12" s="1"/>
      <c r="AL12" s="1"/>
      <c r="AM12" s="1"/>
      <c r="AN12" s="1"/>
    </row>
    <row r="13" spans="1:40">
      <c r="A13" s="64" t="s">
        <v>123</v>
      </c>
      <c r="B13" s="6">
        <v>3.35</v>
      </c>
      <c r="C13" s="6">
        <v>2.95</v>
      </c>
      <c r="D13" s="6">
        <f t="shared" si="0"/>
        <v>12.600000000000001</v>
      </c>
      <c r="E13" s="4">
        <f t="shared" si="1"/>
        <v>37.81</v>
      </c>
      <c r="F13" s="75">
        <v>3.35</v>
      </c>
      <c r="G13" s="76">
        <v>1</v>
      </c>
      <c r="H13" s="77"/>
      <c r="I13" s="78"/>
      <c r="J13" s="77"/>
      <c r="K13" s="78"/>
      <c r="L13" s="77"/>
      <c r="M13" s="78"/>
      <c r="N13" s="75">
        <v>0.8</v>
      </c>
      <c r="O13" s="76">
        <v>2.1</v>
      </c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G13" s="1"/>
      <c r="AH13" s="1"/>
      <c r="AI13" s="1"/>
      <c r="AJ13" s="1"/>
      <c r="AK13" s="1"/>
      <c r="AL13" s="1"/>
      <c r="AM13" s="1"/>
      <c r="AN13" s="1"/>
    </row>
    <row r="14" spans="1:40">
      <c r="A14" s="64" t="s">
        <v>124</v>
      </c>
      <c r="B14" s="6">
        <v>5.0999999999999996</v>
      </c>
      <c r="C14" s="6">
        <v>4.0199999999999996</v>
      </c>
      <c r="D14" s="6">
        <f t="shared" si="0"/>
        <v>18.239999999999998</v>
      </c>
      <c r="E14" s="4">
        <f t="shared" si="1"/>
        <v>44.609999999999985</v>
      </c>
      <c r="F14" s="75">
        <v>5.0999999999999996</v>
      </c>
      <c r="G14" s="76">
        <v>1</v>
      </c>
      <c r="H14" s="77"/>
      <c r="I14" s="78"/>
      <c r="J14" s="77"/>
      <c r="K14" s="78"/>
      <c r="L14" s="77"/>
      <c r="M14" s="78"/>
      <c r="N14" s="75">
        <v>1.48</v>
      </c>
      <c r="O14" s="76">
        <v>2.1</v>
      </c>
      <c r="P14" s="75">
        <v>1.48</v>
      </c>
      <c r="Q14" s="76">
        <v>2.1</v>
      </c>
      <c r="R14" s="75">
        <v>2.1</v>
      </c>
      <c r="S14" s="76">
        <v>2.1</v>
      </c>
      <c r="T14" s="75">
        <v>0.8</v>
      </c>
      <c r="U14" s="76">
        <v>2.1</v>
      </c>
      <c r="V14" s="77"/>
      <c r="W14" s="78"/>
      <c r="X14" s="77"/>
      <c r="Y14" s="78"/>
      <c r="Z14" s="77"/>
      <c r="AA14" s="78"/>
      <c r="AB14" s="77"/>
      <c r="AC14" s="78"/>
      <c r="AG14" s="1"/>
      <c r="AH14" s="1"/>
      <c r="AI14" s="1"/>
      <c r="AJ14" s="1"/>
      <c r="AK14" s="1"/>
      <c r="AL14" s="1"/>
      <c r="AM14" s="1"/>
      <c r="AN14" s="1"/>
    </row>
    <row r="15" spans="1:40">
      <c r="A15" s="64" t="s">
        <v>129</v>
      </c>
      <c r="B15" s="9"/>
      <c r="C15" s="9"/>
      <c r="D15" s="6">
        <v>21.4</v>
      </c>
      <c r="E15" s="4">
        <f t="shared" si="1"/>
        <v>65.079999999999984</v>
      </c>
      <c r="F15" s="75">
        <v>4.1500000000000004</v>
      </c>
      <c r="G15" s="76">
        <v>1</v>
      </c>
      <c r="H15" s="75">
        <v>1.85</v>
      </c>
      <c r="I15" s="76">
        <v>1</v>
      </c>
      <c r="J15" s="77"/>
      <c r="K15" s="78"/>
      <c r="L15" s="77"/>
      <c r="M15" s="78"/>
      <c r="N15" s="75">
        <v>0.8</v>
      </c>
      <c r="O15" s="76">
        <v>2.1</v>
      </c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G15" s="1"/>
      <c r="AH15" s="1"/>
      <c r="AI15" s="1"/>
      <c r="AJ15" s="1"/>
      <c r="AK15" s="1"/>
      <c r="AL15" s="1"/>
      <c r="AM15" s="1"/>
      <c r="AN15" s="1"/>
    </row>
    <row r="16" spans="1:40">
      <c r="A16" s="64" t="s">
        <v>132</v>
      </c>
      <c r="B16" s="6">
        <v>2.2999999999999998</v>
      </c>
      <c r="C16" s="6">
        <v>2.2000000000000002</v>
      </c>
      <c r="D16" s="6">
        <f t="shared" ref="D16:D17" si="2">2*(B16+C16)</f>
        <v>9</v>
      </c>
      <c r="E16" s="4">
        <f t="shared" si="1"/>
        <v>28.919999999999998</v>
      </c>
      <c r="F16" s="77"/>
      <c r="G16" s="78"/>
      <c r="H16" s="77"/>
      <c r="I16" s="78"/>
      <c r="J16" s="77"/>
      <c r="K16" s="78"/>
      <c r="L16" s="77"/>
      <c r="M16" s="78"/>
      <c r="N16" s="75">
        <v>0.8</v>
      </c>
      <c r="O16" s="76">
        <v>2.1</v>
      </c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G16" s="1"/>
      <c r="AH16" s="1"/>
      <c r="AI16" s="1"/>
      <c r="AJ16" s="1"/>
      <c r="AK16" s="1"/>
      <c r="AL16" s="1"/>
      <c r="AM16" s="1"/>
      <c r="AN16" s="1"/>
    </row>
    <row r="17" spans="1:40">
      <c r="A17" s="64" t="s">
        <v>135</v>
      </c>
      <c r="B17" s="6">
        <v>4.75</v>
      </c>
      <c r="C17" s="6">
        <v>1.89</v>
      </c>
      <c r="D17" s="6">
        <f t="shared" si="2"/>
        <v>13.28</v>
      </c>
      <c r="E17" s="4">
        <f t="shared" si="1"/>
        <v>33.811999999999991</v>
      </c>
      <c r="F17" s="77"/>
      <c r="G17" s="78"/>
      <c r="H17" s="77"/>
      <c r="I17" s="78"/>
      <c r="J17" s="77"/>
      <c r="K17" s="78"/>
      <c r="L17" s="77"/>
      <c r="M17" s="78"/>
      <c r="N17" s="75">
        <v>0.8</v>
      </c>
      <c r="O17" s="76">
        <v>2.1</v>
      </c>
      <c r="P17" s="75">
        <v>0.8</v>
      </c>
      <c r="Q17" s="76">
        <v>2.1</v>
      </c>
      <c r="R17" s="75">
        <v>0.8</v>
      </c>
      <c r="S17" s="76">
        <v>2.1</v>
      </c>
      <c r="T17" s="75">
        <v>0.9</v>
      </c>
      <c r="U17" s="76">
        <v>2.1</v>
      </c>
      <c r="V17" s="75">
        <v>0.9</v>
      </c>
      <c r="W17" s="76">
        <v>2.1</v>
      </c>
      <c r="X17" s="77"/>
      <c r="Y17" s="78"/>
      <c r="Z17" s="77"/>
      <c r="AA17" s="78"/>
      <c r="AB17" s="75">
        <v>1.2</v>
      </c>
      <c r="AC17" s="76">
        <v>2.1</v>
      </c>
      <c r="AG17" s="1"/>
      <c r="AH17" s="1"/>
      <c r="AI17" s="1"/>
      <c r="AJ17" s="1"/>
      <c r="AK17" s="1"/>
      <c r="AL17" s="1"/>
      <c r="AM17" s="1"/>
      <c r="AN17" s="1"/>
    </row>
    <row r="18" spans="1:40">
      <c r="A18" s="64" t="s">
        <v>143</v>
      </c>
      <c r="B18" s="9"/>
      <c r="C18" s="9"/>
      <c r="D18" s="6">
        <v>63.03</v>
      </c>
      <c r="E18" s="4">
        <f t="shared" si="1"/>
        <v>137.83949999999999</v>
      </c>
      <c r="F18" s="75">
        <v>7.75</v>
      </c>
      <c r="G18" s="76">
        <v>2.95</v>
      </c>
      <c r="H18" s="75">
        <v>4.8</v>
      </c>
      <c r="I18" s="76">
        <v>2.65</v>
      </c>
      <c r="J18" s="77"/>
      <c r="K18" s="78"/>
      <c r="L18" s="77"/>
      <c r="M18" s="78"/>
      <c r="N18" s="75">
        <v>4.8</v>
      </c>
      <c r="O18" s="76">
        <v>2.65</v>
      </c>
      <c r="P18" s="75">
        <v>5</v>
      </c>
      <c r="Q18" s="76">
        <v>2.65</v>
      </c>
      <c r="R18" s="75">
        <v>2.1</v>
      </c>
      <c r="S18" s="76">
        <v>2.1</v>
      </c>
      <c r="T18" s="75">
        <v>0.8</v>
      </c>
      <c r="U18" s="76">
        <v>2.1</v>
      </c>
      <c r="V18" s="75">
        <v>0.8</v>
      </c>
      <c r="W18" s="76">
        <v>2.1</v>
      </c>
      <c r="X18" s="86"/>
      <c r="Y18" s="87"/>
      <c r="Z18" s="75">
        <v>1.2</v>
      </c>
      <c r="AA18" s="76">
        <v>2.1</v>
      </c>
      <c r="AB18" s="75">
        <v>2.2000000000000002</v>
      </c>
      <c r="AC18" s="76">
        <v>2.1</v>
      </c>
      <c r="AG18" s="1"/>
      <c r="AH18" s="1"/>
      <c r="AI18" s="1"/>
      <c r="AJ18" s="1"/>
      <c r="AK18" s="1"/>
      <c r="AL18" s="1"/>
      <c r="AM18" s="1"/>
      <c r="AN18" s="1"/>
    </row>
    <row r="19" spans="1:40">
      <c r="A19" s="64" t="s">
        <v>137</v>
      </c>
      <c r="B19" s="6">
        <v>1.95</v>
      </c>
      <c r="C19" s="6">
        <v>3.23</v>
      </c>
      <c r="D19" s="6">
        <f t="shared" ref="D19:D20" si="3">2*(B19+C19)</f>
        <v>10.36</v>
      </c>
      <c r="E19" s="4">
        <f t="shared" si="1"/>
        <v>33.543999999999997</v>
      </c>
      <c r="F19" s="77"/>
      <c r="G19" s="78"/>
      <c r="H19" s="77"/>
      <c r="I19" s="78"/>
      <c r="J19" s="77"/>
      <c r="K19" s="78"/>
      <c r="L19" s="77"/>
      <c r="M19" s="78"/>
      <c r="N19" s="75">
        <v>0.8</v>
      </c>
      <c r="O19" s="76">
        <v>2.1</v>
      </c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G19" s="1"/>
      <c r="AH19" s="1"/>
      <c r="AI19" s="1"/>
      <c r="AJ19" s="1"/>
      <c r="AK19" s="1"/>
      <c r="AL19" s="1"/>
      <c r="AM19" s="1"/>
      <c r="AN19" s="1"/>
    </row>
    <row r="20" spans="1:40">
      <c r="A20" s="64" t="s">
        <v>138</v>
      </c>
      <c r="B20" s="6">
        <v>1.95</v>
      </c>
      <c r="C20" s="6">
        <v>2.15</v>
      </c>
      <c r="D20" s="6">
        <f t="shared" si="3"/>
        <v>8.1999999999999993</v>
      </c>
      <c r="E20" s="4">
        <f t="shared" si="1"/>
        <v>22.629999999999995</v>
      </c>
      <c r="F20" s="75">
        <v>1.05</v>
      </c>
      <c r="G20" s="76">
        <v>1.8</v>
      </c>
      <c r="H20" s="77"/>
      <c r="I20" s="78"/>
      <c r="J20" s="77"/>
      <c r="K20" s="78"/>
      <c r="L20" s="77"/>
      <c r="M20" s="78"/>
      <c r="N20" s="75">
        <v>0.8</v>
      </c>
      <c r="O20" s="76">
        <v>2.1</v>
      </c>
      <c r="P20" s="75">
        <v>0.8</v>
      </c>
      <c r="Q20" s="76">
        <v>2.1</v>
      </c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G20" s="1"/>
      <c r="AH20" s="1"/>
      <c r="AI20" s="1"/>
      <c r="AJ20" s="1"/>
      <c r="AK20" s="1"/>
      <c r="AL20" s="1"/>
      <c r="AM20" s="1"/>
      <c r="AN20" s="1"/>
    </row>
    <row r="21" spans="1:40">
      <c r="A21" s="64" t="s">
        <v>139</v>
      </c>
      <c r="B21" s="9"/>
      <c r="C21" s="9"/>
      <c r="D21" s="6">
        <v>27.06</v>
      </c>
      <c r="E21" s="4">
        <f t="shared" si="1"/>
        <v>81.590999999999994</v>
      </c>
      <c r="F21" s="75">
        <v>3</v>
      </c>
      <c r="G21" s="76">
        <v>1</v>
      </c>
      <c r="H21" s="77"/>
      <c r="I21" s="78"/>
      <c r="J21" s="77"/>
      <c r="K21" s="78"/>
      <c r="L21" s="77"/>
      <c r="M21" s="78"/>
      <c r="N21" s="75">
        <v>1.33</v>
      </c>
      <c r="O21" s="76">
        <v>2.1</v>
      </c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5">
        <v>2.2000000000000002</v>
      </c>
      <c r="AC21" s="76">
        <v>2.1</v>
      </c>
      <c r="AG21" s="1"/>
      <c r="AH21" s="1"/>
      <c r="AI21" s="1"/>
      <c r="AJ21" s="1"/>
      <c r="AK21" s="1"/>
      <c r="AL21" s="1"/>
      <c r="AM21" s="1"/>
      <c r="AN21" s="1"/>
    </row>
    <row r="22" spans="1:40">
      <c r="A22" s="64" t="s">
        <v>124</v>
      </c>
      <c r="B22" s="6">
        <v>3.45</v>
      </c>
      <c r="C22" s="6">
        <v>3.2</v>
      </c>
      <c r="D22" s="6">
        <f t="shared" si="0"/>
        <v>13.3</v>
      </c>
      <c r="E22" s="4">
        <f t="shared" si="1"/>
        <v>34.089999999999996</v>
      </c>
      <c r="F22" s="77"/>
      <c r="G22" s="78"/>
      <c r="H22" s="77"/>
      <c r="I22" s="78"/>
      <c r="J22" s="77"/>
      <c r="K22" s="78"/>
      <c r="L22" s="77"/>
      <c r="M22" s="78"/>
      <c r="N22" s="75">
        <v>1.1000000000000001</v>
      </c>
      <c r="O22" s="76">
        <v>2.1</v>
      </c>
      <c r="P22" s="75">
        <v>2.1</v>
      </c>
      <c r="Q22" s="76">
        <v>2.1</v>
      </c>
      <c r="R22" s="75">
        <v>2.1</v>
      </c>
      <c r="S22" s="76">
        <v>2.1</v>
      </c>
      <c r="T22" s="77"/>
      <c r="U22" s="78"/>
      <c r="V22" s="77"/>
      <c r="W22" s="78"/>
      <c r="X22" s="77"/>
      <c r="Y22" s="78"/>
      <c r="Z22" s="77"/>
      <c r="AA22" s="78"/>
      <c r="AB22" s="77"/>
      <c r="AC22" s="78"/>
      <c r="AG22" s="1"/>
      <c r="AH22" s="1"/>
      <c r="AI22" s="1"/>
      <c r="AJ22" s="1"/>
      <c r="AK22" s="1"/>
      <c r="AL22" s="1"/>
      <c r="AM22" s="1"/>
      <c r="AN22" s="1"/>
    </row>
    <row r="23" spans="1:40">
      <c r="A23" s="64" t="s">
        <v>150</v>
      </c>
      <c r="B23" s="6">
        <v>7.48</v>
      </c>
      <c r="C23" s="6">
        <v>4.4000000000000004</v>
      </c>
      <c r="D23" s="6">
        <f t="shared" si="0"/>
        <v>23.76</v>
      </c>
      <c r="E23" s="4">
        <f t="shared" si="1"/>
        <v>76.374000000000009</v>
      </c>
      <c r="F23" s="77"/>
      <c r="G23" s="78"/>
      <c r="H23" s="77"/>
      <c r="I23" s="78"/>
      <c r="J23" s="77"/>
      <c r="K23" s="78"/>
      <c r="L23" s="77"/>
      <c r="M23" s="78"/>
      <c r="N23" s="75">
        <v>2.1</v>
      </c>
      <c r="O23" s="76">
        <v>2.1</v>
      </c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  <c r="AB23" s="77"/>
      <c r="AC23" s="78"/>
      <c r="AG23" s="1"/>
      <c r="AH23" s="1"/>
      <c r="AI23" s="1"/>
      <c r="AJ23" s="1"/>
      <c r="AK23" s="1"/>
      <c r="AL23" s="1"/>
      <c r="AM23" s="1"/>
      <c r="AN23" s="1"/>
    </row>
    <row r="24" spans="1:40">
      <c r="A24" s="64" t="s">
        <v>151</v>
      </c>
      <c r="B24" s="6">
        <v>2.17</v>
      </c>
      <c r="C24" s="6">
        <v>12.7</v>
      </c>
      <c r="D24" s="6">
        <f t="shared" si="0"/>
        <v>29.74</v>
      </c>
      <c r="E24" s="4">
        <f t="shared" si="1"/>
        <v>97.435999999999979</v>
      </c>
      <c r="F24" s="75">
        <v>2</v>
      </c>
      <c r="G24" s="76">
        <v>1</v>
      </c>
      <c r="H24" s="77"/>
      <c r="I24" s="78"/>
      <c r="J24" s="77"/>
      <c r="K24" s="78"/>
      <c r="L24" s="77"/>
      <c r="M24" s="78"/>
      <c r="N24" s="75">
        <v>0.8</v>
      </c>
      <c r="O24" s="76">
        <v>2.1</v>
      </c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  <c r="AG24" s="3"/>
      <c r="AH24" s="3"/>
      <c r="AI24" s="3"/>
      <c r="AJ24" s="3"/>
      <c r="AK24" s="3"/>
      <c r="AL24" s="3"/>
      <c r="AM24" s="3"/>
      <c r="AN24" s="3"/>
    </row>
    <row r="25" spans="1:40">
      <c r="A25" s="64" t="s">
        <v>153</v>
      </c>
      <c r="B25" s="6">
        <v>2.0499999999999998</v>
      </c>
      <c r="C25" s="6">
        <v>12.7</v>
      </c>
      <c r="D25" s="6">
        <f t="shared" si="0"/>
        <v>29.5</v>
      </c>
      <c r="E25" s="4">
        <f t="shared" si="1"/>
        <v>93.99</v>
      </c>
      <c r="F25" s="75">
        <v>2</v>
      </c>
      <c r="G25" s="76">
        <v>1</v>
      </c>
      <c r="H25" s="75">
        <v>2</v>
      </c>
      <c r="I25" s="76">
        <v>1</v>
      </c>
      <c r="J25" s="77"/>
      <c r="K25" s="78"/>
      <c r="L25" s="77"/>
      <c r="M25" s="78"/>
      <c r="N25" s="75">
        <v>1.1000000000000001</v>
      </c>
      <c r="O25" s="76">
        <v>2.1</v>
      </c>
      <c r="P25" s="77"/>
      <c r="Q25" s="78"/>
      <c r="R25" s="77"/>
      <c r="S25" s="78"/>
      <c r="T25" s="77"/>
      <c r="U25" s="78"/>
      <c r="V25" s="77"/>
      <c r="W25" s="78"/>
      <c r="X25" s="77"/>
      <c r="Y25" s="78"/>
      <c r="Z25" s="77"/>
      <c r="AA25" s="78"/>
      <c r="AB25" s="77"/>
      <c r="AC25" s="78"/>
    </row>
    <row r="26" spans="1:40"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</row>
    <row r="27" spans="1:40">
      <c r="A27" s="64" t="s">
        <v>24</v>
      </c>
      <c r="B27" s="9"/>
      <c r="C27" s="9"/>
      <c r="D27" s="7">
        <f>178.37-4.2-21.9</f>
        <v>152.27000000000001</v>
      </c>
      <c r="E27" s="103">
        <f>(D27*($A$3+0.35))-((F27*G27)+(H27*I27)+(J27*K27)+(L27*M27)+(N27*O27)+(P27*Q27)+(R27*S27)+(T27*U27)+(V27*W27)+(X27*Y27)+(Z27*AA27)+(AB27*AC27))</f>
        <v>425.47</v>
      </c>
      <c r="F27" s="75">
        <f>7*2</f>
        <v>14</v>
      </c>
      <c r="G27" s="76">
        <v>1</v>
      </c>
      <c r="H27" s="75">
        <f>2*2.2</f>
        <v>4.4000000000000004</v>
      </c>
      <c r="I27" s="76">
        <v>1</v>
      </c>
      <c r="J27" s="75">
        <f>3*1</f>
        <v>3</v>
      </c>
      <c r="K27" s="76">
        <v>0.8</v>
      </c>
      <c r="L27" s="75">
        <f>2.75+3+5+13.9+4.15+7.1+3.35+11.55</f>
        <v>50.8</v>
      </c>
      <c r="M27" s="76">
        <v>1</v>
      </c>
      <c r="N27" s="75">
        <f>2*2.1</f>
        <v>4.2</v>
      </c>
      <c r="O27" s="76">
        <v>2.1</v>
      </c>
      <c r="P27" s="75">
        <v>5</v>
      </c>
      <c r="Q27" s="76">
        <v>2.65</v>
      </c>
      <c r="R27" s="75">
        <v>4.8</v>
      </c>
      <c r="S27" s="76">
        <v>2.65</v>
      </c>
      <c r="T27" s="75">
        <v>0.8</v>
      </c>
      <c r="U27" s="76">
        <v>2.1</v>
      </c>
      <c r="V27" s="75">
        <v>7.75</v>
      </c>
      <c r="W27" s="76">
        <v>2.95</v>
      </c>
      <c r="X27" s="75">
        <v>1.05</v>
      </c>
      <c r="Y27" s="76">
        <v>1.8</v>
      </c>
      <c r="Z27" s="75">
        <v>4.8</v>
      </c>
      <c r="AA27" s="76">
        <v>2.65</v>
      </c>
      <c r="AB27" s="77"/>
      <c r="AC27" s="78"/>
    </row>
    <row r="29" spans="1:40">
      <c r="A29" s="63" t="s">
        <v>212</v>
      </c>
      <c r="B29" s="161">
        <f>SUM(E5:E27)</f>
        <v>1595.6025</v>
      </c>
      <c r="C29" s="162"/>
    </row>
    <row r="30" spans="1:40" ht="5.0999999999999996" customHeight="1"/>
    <row r="31" spans="1:40">
      <c r="A31" s="53" t="s">
        <v>217</v>
      </c>
      <c r="C31" s="60"/>
    </row>
    <row r="35" spans="1:29">
      <c r="A35" s="12" t="s">
        <v>213</v>
      </c>
      <c r="B35" s="3"/>
      <c r="C35" s="3"/>
      <c r="D35" s="3"/>
      <c r="E35" s="3"/>
      <c r="F35" s="147" t="s">
        <v>6</v>
      </c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</row>
    <row r="36" spans="1:29">
      <c r="A36" s="48">
        <v>1.4</v>
      </c>
      <c r="B36" s="3"/>
      <c r="C36" s="3"/>
      <c r="D36" s="3"/>
      <c r="E36" s="3"/>
      <c r="F36" s="148" t="s">
        <v>9</v>
      </c>
      <c r="G36" s="149"/>
      <c r="H36" s="148" t="s">
        <v>12</v>
      </c>
      <c r="I36" s="149"/>
      <c r="J36" s="148" t="s">
        <v>13</v>
      </c>
      <c r="K36" s="149"/>
      <c r="L36" s="148" t="s">
        <v>14</v>
      </c>
      <c r="M36" s="149"/>
      <c r="N36" s="148" t="s">
        <v>15</v>
      </c>
      <c r="O36" s="149"/>
      <c r="P36" s="148" t="s">
        <v>16</v>
      </c>
      <c r="Q36" s="149"/>
      <c r="R36" s="148" t="s">
        <v>17</v>
      </c>
      <c r="S36" s="149"/>
      <c r="T36" s="147" t="s">
        <v>18</v>
      </c>
      <c r="U36" s="147"/>
      <c r="V36" s="147" t="s">
        <v>19</v>
      </c>
      <c r="W36" s="147"/>
      <c r="X36" s="147" t="s">
        <v>20</v>
      </c>
      <c r="Y36" s="147"/>
      <c r="Z36" s="147" t="s">
        <v>22</v>
      </c>
      <c r="AA36" s="147"/>
      <c r="AB36" s="147" t="s">
        <v>23</v>
      </c>
      <c r="AC36" s="147"/>
    </row>
    <row r="37" spans="1:29" ht="43.5">
      <c r="A37" s="1"/>
      <c r="B37" s="10" t="s">
        <v>7</v>
      </c>
      <c r="C37" s="10" t="s">
        <v>8</v>
      </c>
      <c r="D37" s="11" t="s">
        <v>2</v>
      </c>
      <c r="E37" s="11" t="s">
        <v>3</v>
      </c>
      <c r="F37" s="2" t="s">
        <v>10</v>
      </c>
      <c r="G37" s="2" t="s">
        <v>11</v>
      </c>
      <c r="H37" s="2" t="s">
        <v>10</v>
      </c>
      <c r="I37" s="2" t="s">
        <v>11</v>
      </c>
      <c r="J37" s="2" t="s">
        <v>10</v>
      </c>
      <c r="K37" s="2" t="s">
        <v>11</v>
      </c>
      <c r="L37" s="2" t="s">
        <v>10</v>
      </c>
      <c r="M37" s="2" t="s">
        <v>11</v>
      </c>
      <c r="N37" s="2" t="s">
        <v>10</v>
      </c>
      <c r="O37" s="2" t="s">
        <v>11</v>
      </c>
      <c r="P37" s="2" t="s">
        <v>10</v>
      </c>
      <c r="Q37" s="2" t="s">
        <v>11</v>
      </c>
      <c r="R37" s="2" t="s">
        <v>10</v>
      </c>
      <c r="S37" s="2" t="s">
        <v>11</v>
      </c>
      <c r="T37" s="2" t="s">
        <v>10</v>
      </c>
      <c r="U37" s="2" t="s">
        <v>11</v>
      </c>
      <c r="V37" s="2" t="s">
        <v>10</v>
      </c>
      <c r="W37" s="2" t="s">
        <v>11</v>
      </c>
      <c r="X37" s="2" t="s">
        <v>10</v>
      </c>
      <c r="Y37" s="2" t="s">
        <v>11</v>
      </c>
      <c r="Z37" s="2" t="s">
        <v>10</v>
      </c>
      <c r="AA37" s="2" t="s">
        <v>11</v>
      </c>
      <c r="AB37" s="2" t="s">
        <v>10</v>
      </c>
      <c r="AC37" s="2" t="s">
        <v>11</v>
      </c>
    </row>
    <row r="38" spans="1:29">
      <c r="A38" s="64" t="s">
        <v>116</v>
      </c>
      <c r="B38" s="6">
        <v>3.9</v>
      </c>
      <c r="C38" s="6">
        <v>2.95</v>
      </c>
      <c r="D38" s="6">
        <f t="shared" ref="D38:D40" si="4">2*(B38+C38)</f>
        <v>13.7</v>
      </c>
      <c r="E38" s="4">
        <f t="shared" ref="E38:E47" si="5">(D38*($A$3-$A$36))-((F38*G38)+(H38*I38)+(J38*K38)+(L38*M38)+(N38*O38)+(P38*Q38)+(R38*S38)+(T38*U38)+(V38*W38)+(X38*Y38)+(Z38*AA38)+(AB38*AC38))</f>
        <v>26.63</v>
      </c>
      <c r="F38" s="77"/>
      <c r="G38" s="78"/>
      <c r="H38" s="77"/>
      <c r="I38" s="78"/>
      <c r="J38" s="77"/>
      <c r="K38" s="78"/>
      <c r="L38" s="77"/>
      <c r="M38" s="78"/>
      <c r="N38" s="75">
        <v>1.1000000000000001</v>
      </c>
      <c r="O38" s="76">
        <v>0.7</v>
      </c>
      <c r="P38" s="77"/>
      <c r="Q38" s="78"/>
      <c r="R38" s="77"/>
      <c r="S38" s="78"/>
      <c r="T38" s="77"/>
      <c r="U38" s="78"/>
      <c r="V38" s="77"/>
      <c r="W38" s="78"/>
      <c r="X38" s="77"/>
      <c r="Y38" s="78"/>
      <c r="Z38" s="77"/>
      <c r="AA38" s="78"/>
      <c r="AB38" s="77"/>
      <c r="AC38" s="78"/>
    </row>
    <row r="39" spans="1:29">
      <c r="A39" s="64" t="s">
        <v>125</v>
      </c>
      <c r="B39" s="6">
        <v>2.5</v>
      </c>
      <c r="C39" s="6">
        <v>4.42</v>
      </c>
      <c r="D39" s="6">
        <f t="shared" si="4"/>
        <v>13.84</v>
      </c>
      <c r="E39" s="4">
        <f t="shared" si="5"/>
        <v>27.12</v>
      </c>
      <c r="F39" s="77"/>
      <c r="G39" s="78"/>
      <c r="H39" s="77"/>
      <c r="I39" s="78"/>
      <c r="J39" s="77"/>
      <c r="K39" s="78"/>
      <c r="L39" s="77"/>
      <c r="M39" s="78"/>
      <c r="N39" s="75">
        <v>0.8</v>
      </c>
      <c r="O39" s="76">
        <v>0.7</v>
      </c>
      <c r="P39" s="77"/>
      <c r="Q39" s="78"/>
      <c r="R39" s="77"/>
      <c r="S39" s="78"/>
      <c r="T39" s="77"/>
      <c r="U39" s="78"/>
      <c r="V39" s="77"/>
      <c r="W39" s="78"/>
      <c r="X39" s="77"/>
      <c r="Y39" s="78"/>
      <c r="Z39" s="77"/>
      <c r="AA39" s="78"/>
      <c r="AB39" s="77"/>
      <c r="AC39" s="78"/>
    </row>
    <row r="40" spans="1:29">
      <c r="A40" s="64" t="s">
        <v>127</v>
      </c>
      <c r="B40" s="6">
        <v>2.5499999999999998</v>
      </c>
      <c r="C40" s="6">
        <v>4.42</v>
      </c>
      <c r="D40" s="6">
        <f t="shared" si="4"/>
        <v>13.94</v>
      </c>
      <c r="E40" s="4">
        <f t="shared" si="5"/>
        <v>27.32</v>
      </c>
      <c r="F40" s="77"/>
      <c r="G40" s="78"/>
      <c r="H40" s="77"/>
      <c r="I40" s="78"/>
      <c r="J40" s="77"/>
      <c r="K40" s="78"/>
      <c r="L40" s="77"/>
      <c r="M40" s="78"/>
      <c r="N40" s="75">
        <v>0.8</v>
      </c>
      <c r="O40" s="76">
        <v>0.7</v>
      </c>
      <c r="P40" s="77"/>
      <c r="Q40" s="78"/>
      <c r="R40" s="77"/>
      <c r="S40" s="78"/>
      <c r="T40" s="77"/>
      <c r="U40" s="78"/>
      <c r="V40" s="77"/>
      <c r="W40" s="78"/>
      <c r="X40" s="77"/>
      <c r="Y40" s="78"/>
      <c r="Z40" s="77"/>
      <c r="AA40" s="78"/>
      <c r="AB40" s="77"/>
      <c r="AC40" s="78"/>
    </row>
    <row r="41" spans="1:29">
      <c r="A41" s="64" t="s">
        <v>130</v>
      </c>
      <c r="B41" s="6">
        <v>2.5499999999999998</v>
      </c>
      <c r="C41" s="6">
        <v>4.9000000000000004</v>
      </c>
      <c r="D41" s="6">
        <f t="shared" ref="D41:D42" si="6">2*(B41+C41)</f>
        <v>14.9</v>
      </c>
      <c r="E41" s="4">
        <f t="shared" si="5"/>
        <v>27.11</v>
      </c>
      <c r="F41" s="75">
        <v>1.5</v>
      </c>
      <c r="G41" s="76">
        <v>1</v>
      </c>
      <c r="H41" s="77"/>
      <c r="I41" s="78"/>
      <c r="J41" s="77"/>
      <c r="K41" s="78"/>
      <c r="L41" s="77"/>
      <c r="M41" s="78"/>
      <c r="N41" s="75">
        <v>0.8</v>
      </c>
      <c r="O41" s="76">
        <v>0.7</v>
      </c>
      <c r="P41" s="75">
        <v>0.9</v>
      </c>
      <c r="Q41" s="76">
        <v>0.7</v>
      </c>
      <c r="R41" s="77"/>
      <c r="S41" s="78"/>
      <c r="T41" s="77"/>
      <c r="U41" s="78"/>
      <c r="V41" s="77"/>
      <c r="W41" s="78"/>
      <c r="X41" s="77"/>
      <c r="Y41" s="78"/>
      <c r="Z41" s="77"/>
      <c r="AA41" s="78"/>
      <c r="AB41" s="77"/>
      <c r="AC41" s="78"/>
    </row>
    <row r="42" spans="1:29">
      <c r="A42" s="64" t="s">
        <v>144</v>
      </c>
      <c r="B42" s="6">
        <v>2.5499999999999998</v>
      </c>
      <c r="C42" s="6">
        <v>4.9000000000000004</v>
      </c>
      <c r="D42" s="6">
        <f t="shared" si="6"/>
        <v>14.9</v>
      </c>
      <c r="E42" s="4">
        <f t="shared" si="5"/>
        <v>26.69</v>
      </c>
      <c r="F42" s="75">
        <v>2.5499999999999998</v>
      </c>
      <c r="G42" s="76">
        <v>1</v>
      </c>
      <c r="H42" s="77"/>
      <c r="I42" s="78"/>
      <c r="J42" s="77"/>
      <c r="K42" s="78"/>
      <c r="L42" s="77"/>
      <c r="M42" s="78"/>
      <c r="N42" s="75">
        <v>0.8</v>
      </c>
      <c r="O42" s="76">
        <v>0.7</v>
      </c>
      <c r="P42" s="77"/>
      <c r="Q42" s="78"/>
      <c r="R42" s="77"/>
      <c r="S42" s="78"/>
      <c r="T42" s="77"/>
      <c r="U42" s="78"/>
      <c r="V42" s="77"/>
      <c r="W42" s="78"/>
      <c r="X42" s="77"/>
      <c r="Y42" s="78"/>
      <c r="Z42" s="77"/>
      <c r="AA42" s="78"/>
      <c r="AB42" s="77"/>
      <c r="AC42" s="78"/>
    </row>
    <row r="43" spans="1:29">
      <c r="A43" s="64" t="s">
        <v>131</v>
      </c>
      <c r="B43" s="9"/>
      <c r="C43" s="9"/>
      <c r="D43" s="6">
        <v>14.9</v>
      </c>
      <c r="E43" s="4">
        <f t="shared" si="5"/>
        <v>26.69</v>
      </c>
      <c r="F43" s="75">
        <v>2.5499999999999998</v>
      </c>
      <c r="G43" s="76">
        <v>1</v>
      </c>
      <c r="H43" s="77"/>
      <c r="I43" s="78"/>
      <c r="J43" s="77"/>
      <c r="K43" s="78"/>
      <c r="L43" s="77"/>
      <c r="M43" s="78"/>
      <c r="N43" s="75">
        <v>0.8</v>
      </c>
      <c r="O43" s="76">
        <v>0.7</v>
      </c>
      <c r="P43" s="77"/>
      <c r="Q43" s="78"/>
      <c r="R43" s="77"/>
      <c r="S43" s="78"/>
      <c r="T43" s="77"/>
      <c r="U43" s="78"/>
      <c r="V43" s="77"/>
      <c r="W43" s="78"/>
      <c r="X43" s="77"/>
      <c r="Y43" s="78"/>
      <c r="Z43" s="77"/>
      <c r="AA43" s="78"/>
      <c r="AB43" s="77"/>
      <c r="AC43" s="78"/>
    </row>
    <row r="44" spans="1:29">
      <c r="A44" s="64" t="s">
        <v>133</v>
      </c>
      <c r="B44" s="6">
        <v>5.15</v>
      </c>
      <c r="C44" s="6">
        <v>2.2000000000000002</v>
      </c>
      <c r="D44" s="6">
        <f t="shared" ref="D44" si="7">2*(B44+C44)</f>
        <v>14.700000000000001</v>
      </c>
      <c r="E44" s="4">
        <f t="shared" si="5"/>
        <v>28.28</v>
      </c>
      <c r="F44" s="77"/>
      <c r="G44" s="78"/>
      <c r="H44" s="77"/>
      <c r="I44" s="78"/>
      <c r="J44" s="77"/>
      <c r="K44" s="78"/>
      <c r="L44" s="77"/>
      <c r="M44" s="78"/>
      <c r="N44" s="75">
        <v>0.8</v>
      </c>
      <c r="O44" s="76">
        <v>0.7</v>
      </c>
      <c r="P44" s="75">
        <v>0.8</v>
      </c>
      <c r="Q44" s="76">
        <v>0.7</v>
      </c>
      <c r="R44" s="77"/>
      <c r="S44" s="78"/>
      <c r="T44" s="77"/>
      <c r="U44" s="78"/>
      <c r="V44" s="77"/>
      <c r="W44" s="78"/>
      <c r="X44" s="77"/>
      <c r="Y44" s="78"/>
      <c r="Z44" s="77"/>
      <c r="AA44" s="78"/>
      <c r="AB44" s="77"/>
      <c r="AC44" s="78"/>
    </row>
    <row r="45" spans="1:29">
      <c r="A45" s="64" t="s">
        <v>4</v>
      </c>
      <c r="B45" s="9"/>
      <c r="C45" s="9"/>
      <c r="D45" s="6">
        <v>134.11000000000001</v>
      </c>
      <c r="E45" s="4">
        <f t="shared" si="5"/>
        <v>231.75000000000003</v>
      </c>
      <c r="F45" s="75">
        <v>2</v>
      </c>
      <c r="G45" s="76">
        <v>1</v>
      </c>
      <c r="H45" s="77"/>
      <c r="I45" s="78"/>
      <c r="J45" s="77"/>
      <c r="K45" s="78"/>
      <c r="L45" s="75">
        <v>1.75</v>
      </c>
      <c r="M45" s="76">
        <v>1</v>
      </c>
      <c r="N45" s="75">
        <f>18*0.8</f>
        <v>14.4</v>
      </c>
      <c r="O45" s="76">
        <v>0.7</v>
      </c>
      <c r="P45" s="75">
        <f>4*2.1</f>
        <v>8.4</v>
      </c>
      <c r="Q45" s="76">
        <v>0.7</v>
      </c>
      <c r="R45" s="75">
        <f>7*1.1</f>
        <v>7.7000000000000011</v>
      </c>
      <c r="S45" s="76">
        <v>0.7</v>
      </c>
      <c r="T45" s="75">
        <v>1.2</v>
      </c>
      <c r="U45" s="76">
        <v>0.7</v>
      </c>
      <c r="V45" s="75">
        <f>2*0.9</f>
        <v>1.8</v>
      </c>
      <c r="W45" s="76">
        <v>0.7</v>
      </c>
      <c r="X45" s="75">
        <v>1.1000000000000001</v>
      </c>
      <c r="Y45" s="76">
        <v>0.7</v>
      </c>
      <c r="Z45" s="75">
        <v>1.2</v>
      </c>
      <c r="AA45" s="76">
        <v>0.25</v>
      </c>
      <c r="AB45" s="75">
        <f>1.9+2.2</f>
        <v>4.0999999999999996</v>
      </c>
      <c r="AC45" s="76">
        <v>2</v>
      </c>
    </row>
    <row r="46" spans="1:29">
      <c r="A46" s="64" t="s">
        <v>140</v>
      </c>
      <c r="B46" s="6">
        <v>2.35</v>
      </c>
      <c r="C46" s="6">
        <v>3.42</v>
      </c>
      <c r="D46" s="6">
        <f t="shared" ref="D46:D47" si="8">2*(B46+C46)</f>
        <v>11.54</v>
      </c>
      <c r="E46" s="4">
        <f t="shared" si="5"/>
        <v>22.52</v>
      </c>
      <c r="F46" s="77"/>
      <c r="G46" s="78"/>
      <c r="H46" s="77"/>
      <c r="I46" s="78"/>
      <c r="J46" s="77"/>
      <c r="K46" s="78"/>
      <c r="L46" s="77"/>
      <c r="M46" s="78"/>
      <c r="N46" s="75">
        <v>0.8</v>
      </c>
      <c r="O46" s="76">
        <v>0.7</v>
      </c>
      <c r="P46" s="77"/>
      <c r="Q46" s="78"/>
      <c r="R46" s="77"/>
      <c r="S46" s="78"/>
      <c r="T46" s="77"/>
      <c r="U46" s="78"/>
      <c r="V46" s="77"/>
      <c r="W46" s="78"/>
      <c r="X46" s="77"/>
      <c r="Y46" s="78"/>
      <c r="Z46" s="77"/>
      <c r="AA46" s="78"/>
      <c r="AB46" s="77"/>
      <c r="AC46" s="78"/>
    </row>
    <row r="47" spans="1:29">
      <c r="A47" s="64" t="s">
        <v>152</v>
      </c>
      <c r="B47" s="6">
        <v>6.6</v>
      </c>
      <c r="C47" s="6">
        <v>12.7</v>
      </c>
      <c r="D47" s="6">
        <f t="shared" si="8"/>
        <v>38.599999999999994</v>
      </c>
      <c r="E47" s="4">
        <f t="shared" si="5"/>
        <v>70.799999999999983</v>
      </c>
      <c r="F47" s="75">
        <v>2</v>
      </c>
      <c r="G47" s="76">
        <v>1</v>
      </c>
      <c r="H47" s="77"/>
      <c r="I47" s="78"/>
      <c r="J47" s="77"/>
      <c r="K47" s="78"/>
      <c r="L47" s="77"/>
      <c r="M47" s="78"/>
      <c r="N47" s="77"/>
      <c r="O47" s="78"/>
      <c r="P47" s="77"/>
      <c r="Q47" s="78"/>
      <c r="R47" s="77"/>
      <c r="S47" s="78"/>
      <c r="T47" s="77"/>
      <c r="U47" s="78"/>
      <c r="V47" s="77"/>
      <c r="W47" s="78"/>
      <c r="X47" s="77"/>
      <c r="Y47" s="78"/>
      <c r="Z47" s="77"/>
      <c r="AA47" s="78"/>
      <c r="AB47" s="75">
        <v>2.2000000000000002</v>
      </c>
      <c r="AC47" s="76">
        <v>2</v>
      </c>
    </row>
    <row r="49" spans="1:3">
      <c r="A49" s="63" t="s">
        <v>212</v>
      </c>
      <c r="B49" s="155">
        <f>SUM(E38:E47)</f>
        <v>514.91</v>
      </c>
      <c r="C49" s="156"/>
    </row>
    <row r="50" spans="1:3" ht="5.0999999999999996" customHeight="1"/>
    <row r="51" spans="1:3">
      <c r="A51" s="53" t="s">
        <v>218</v>
      </c>
    </row>
    <row r="55" spans="1:3">
      <c r="A55" s="63" t="s">
        <v>214</v>
      </c>
      <c r="B55" s="153">
        <f>B29+B49</f>
        <v>2110.5124999999998</v>
      </c>
      <c r="C55" s="154"/>
    </row>
    <row r="56" spans="1:3" hidden="1">
      <c r="A56" s="5" t="s">
        <v>387</v>
      </c>
    </row>
  </sheetData>
  <mergeCells count="30">
    <mergeCell ref="A1:AC1"/>
    <mergeCell ref="B29:C29"/>
    <mergeCell ref="F35:AC35"/>
    <mergeCell ref="AB36:AC36"/>
    <mergeCell ref="B49:C49"/>
    <mergeCell ref="X36:Y36"/>
    <mergeCell ref="Z36:AA36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B55:C55"/>
    <mergeCell ref="P36:Q36"/>
    <mergeCell ref="R36:S36"/>
    <mergeCell ref="T36:U36"/>
    <mergeCell ref="V36:W36"/>
    <mergeCell ref="F36:G36"/>
    <mergeCell ref="H36:I36"/>
    <mergeCell ref="J36:K36"/>
    <mergeCell ref="L36:M36"/>
    <mergeCell ref="N36:O3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Plan18">
    <tabColor rgb="FF00FF00"/>
  </sheetPr>
  <dimension ref="A1:P12"/>
  <sheetViews>
    <sheetView zoomScale="85" zoomScaleNormal="85" workbookViewId="0">
      <pane ySplit="2" topLeftCell="A3" activePane="bottomLeft" state="frozenSplit"/>
      <selection pane="bottomLeft"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388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57" t="s">
        <v>152</v>
      </c>
      <c r="B3" s="6">
        <v>6.6</v>
      </c>
      <c r="C3" s="6">
        <v>12.7</v>
      </c>
      <c r="D3" s="6">
        <f t="shared" ref="D3:D4" si="0">2*(B3+C3)</f>
        <v>38.599999999999994</v>
      </c>
      <c r="E3" s="4">
        <f>B3*C3</f>
        <v>83.82</v>
      </c>
      <c r="I3" s="1"/>
      <c r="J3" s="1"/>
      <c r="K3" s="1"/>
      <c r="L3" s="1"/>
      <c r="M3" s="1"/>
      <c r="N3" s="1"/>
      <c r="O3" s="1"/>
      <c r="P3" s="1"/>
    </row>
    <row r="4" spans="1:16">
      <c r="A4" s="85" t="s">
        <v>150</v>
      </c>
      <c r="B4" s="6">
        <v>7.48</v>
      </c>
      <c r="C4" s="6">
        <v>4.4000000000000004</v>
      </c>
      <c r="D4" s="6">
        <f t="shared" si="0"/>
        <v>23.76</v>
      </c>
      <c r="E4" s="4">
        <f>B4*C4</f>
        <v>32.912000000000006</v>
      </c>
      <c r="I4" s="1"/>
      <c r="J4" s="1"/>
      <c r="K4" s="1"/>
      <c r="L4" s="1"/>
      <c r="M4" s="1"/>
      <c r="N4" s="1"/>
      <c r="O4" s="1"/>
      <c r="P4" s="1"/>
    </row>
    <row r="5" spans="1:16">
      <c r="A5" s="85" t="s">
        <v>139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8" spans="1:16" hidden="1"/>
    <row r="11" spans="1:16">
      <c r="A11" s="57" t="s">
        <v>83</v>
      </c>
      <c r="B11" s="155">
        <f>SUM(E3:E5)</f>
        <v>153.80199999999999</v>
      </c>
      <c r="C11" s="156"/>
    </row>
    <row r="12" spans="1:16" hidden="1">
      <c r="A12" s="5" t="s">
        <v>389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Plan19">
    <tabColor rgb="FF00FF00"/>
  </sheetPr>
  <dimension ref="A1:P12"/>
  <sheetViews>
    <sheetView zoomScale="85" zoomScaleNormal="85" workbookViewId="0">
      <selection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390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5" t="s">
        <v>152</v>
      </c>
      <c r="B3" s="6">
        <v>6.6</v>
      </c>
      <c r="C3" s="6">
        <v>12.7</v>
      </c>
      <c r="D3" s="6">
        <f t="shared" ref="D3:D4" si="0">2*(B3+C3)</f>
        <v>38.599999999999994</v>
      </c>
      <c r="E3" s="4">
        <f>B3*C3</f>
        <v>83.82</v>
      </c>
      <c r="I3" s="1"/>
      <c r="J3" s="1"/>
      <c r="K3" s="1"/>
      <c r="L3" s="1"/>
      <c r="M3" s="1"/>
      <c r="N3" s="1"/>
      <c r="O3" s="1"/>
      <c r="P3" s="1"/>
    </row>
    <row r="4" spans="1:16">
      <c r="A4" s="85" t="s">
        <v>150</v>
      </c>
      <c r="B4" s="6">
        <v>7.48</v>
      </c>
      <c r="C4" s="6">
        <v>4.4000000000000004</v>
      </c>
      <c r="D4" s="6">
        <f t="shared" si="0"/>
        <v>23.76</v>
      </c>
      <c r="E4" s="4">
        <f>B4*C4</f>
        <v>32.912000000000006</v>
      </c>
      <c r="I4" s="1"/>
      <c r="J4" s="1"/>
      <c r="M4" s="1"/>
      <c r="N4" s="1"/>
    </row>
    <row r="5" spans="1:16">
      <c r="A5" s="85" t="s">
        <v>139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14" t="s">
        <v>83</v>
      </c>
      <c r="B11" s="155">
        <f>SUM(E3:E5)</f>
        <v>153.80199999999999</v>
      </c>
      <c r="C11" s="156"/>
    </row>
    <row r="12" spans="1:16" hidden="1">
      <c r="A12" s="5" t="s">
        <v>391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>
    <tabColor rgb="FF00FF00"/>
  </sheetPr>
  <dimension ref="A1:AL85"/>
  <sheetViews>
    <sheetView zoomScale="85" zoomScaleNormal="85" zoomScaleSheetLayoutView="85" workbookViewId="0">
      <pane ySplit="4" topLeftCell="A35" activePane="bottomLeft" state="frozenSplit"/>
      <selection pane="bottomLeft" activeCell="K76" sqref="K76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0" t="s">
        <v>350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2"/>
    </row>
    <row r="2" spans="1:38" s="3" customFormat="1">
      <c r="A2" s="12" t="s">
        <v>21</v>
      </c>
      <c r="D2" s="147" t="s">
        <v>6</v>
      </c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38" s="3" customFormat="1">
      <c r="A3" s="48">
        <f>Memória!A2</f>
        <v>3.4</v>
      </c>
      <c r="D3" s="148" t="s">
        <v>9</v>
      </c>
      <c r="E3" s="149"/>
      <c r="F3" s="148" t="s">
        <v>12</v>
      </c>
      <c r="G3" s="149"/>
      <c r="H3" s="148" t="s">
        <v>13</v>
      </c>
      <c r="I3" s="149"/>
      <c r="J3" s="148" t="s">
        <v>14</v>
      </c>
      <c r="K3" s="149"/>
      <c r="L3" s="148" t="s">
        <v>15</v>
      </c>
      <c r="M3" s="149"/>
      <c r="N3" s="148" t="s">
        <v>16</v>
      </c>
      <c r="O3" s="149"/>
      <c r="P3" s="148" t="s">
        <v>17</v>
      </c>
      <c r="Q3" s="149"/>
      <c r="R3" s="147" t="s">
        <v>18</v>
      </c>
      <c r="S3" s="147"/>
      <c r="T3" s="147" t="s">
        <v>19</v>
      </c>
      <c r="U3" s="147"/>
      <c r="V3" s="147" t="s">
        <v>20</v>
      </c>
      <c r="W3" s="147"/>
      <c r="X3" s="147" t="s">
        <v>22</v>
      </c>
      <c r="Y3" s="147"/>
      <c r="Z3" s="147" t="s">
        <v>23</v>
      </c>
      <c r="AA3" s="147"/>
    </row>
    <row r="4" spans="1:38" ht="30" customHeight="1">
      <c r="A4" s="1"/>
      <c r="B4" s="19" t="s">
        <v>26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8" t="s">
        <v>29</v>
      </c>
      <c r="B5" s="6">
        <v>1.95</v>
      </c>
      <c r="C5" s="4">
        <f t="shared" ref="C5:C39" si="0">(B5*$A$3)-((D5*E5)+(F5*G5)+(H5*I5)+(J5*K5)+(L5*M5)+(N5*O5)+(P5*Q5)+(R5*S5)+(T5*U5)+(V5*W5)+(X5*Y5)+(Z5*AA5))</f>
        <v>4.9499999999999993</v>
      </c>
      <c r="D5" s="77"/>
      <c r="E5" s="78"/>
      <c r="F5" s="77"/>
      <c r="G5" s="78"/>
      <c r="H5" s="77"/>
      <c r="I5" s="78"/>
      <c r="J5" s="77"/>
      <c r="K5" s="78"/>
      <c r="L5" s="75">
        <v>0.8</v>
      </c>
      <c r="M5" s="76">
        <v>2.1</v>
      </c>
      <c r="N5" s="77"/>
      <c r="O5" s="78"/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E5" s="1"/>
      <c r="AF5" s="1"/>
      <c r="AG5" s="1"/>
      <c r="AH5" s="1"/>
      <c r="AI5" s="1"/>
      <c r="AJ5" s="1"/>
      <c r="AK5" s="1"/>
      <c r="AL5" s="1"/>
    </row>
    <row r="6" spans="1:38">
      <c r="A6" s="8" t="s">
        <v>30</v>
      </c>
      <c r="B6" s="6">
        <v>2.5</v>
      </c>
      <c r="C6" s="4">
        <f t="shared" si="0"/>
        <v>8.5</v>
      </c>
      <c r="D6" s="77"/>
      <c r="E6" s="78"/>
      <c r="F6" s="77"/>
      <c r="G6" s="78"/>
      <c r="H6" s="77"/>
      <c r="I6" s="78"/>
      <c r="J6" s="77"/>
      <c r="K6" s="78"/>
      <c r="L6" s="77"/>
      <c r="M6" s="78"/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E6" s="1"/>
      <c r="AF6" s="1"/>
      <c r="AG6" s="1"/>
      <c r="AH6" s="1"/>
      <c r="AI6" s="1"/>
      <c r="AJ6" s="1"/>
      <c r="AK6" s="1"/>
      <c r="AL6" s="1"/>
    </row>
    <row r="7" spans="1:38">
      <c r="A7" s="8" t="s">
        <v>31</v>
      </c>
      <c r="B7" s="6">
        <v>2.5</v>
      </c>
      <c r="C7" s="4">
        <f t="shared" si="0"/>
        <v>8.5</v>
      </c>
      <c r="D7" s="77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E7" s="1"/>
      <c r="AF7" s="1"/>
      <c r="AG7" s="1"/>
      <c r="AH7" s="1"/>
      <c r="AI7" s="1"/>
      <c r="AJ7" s="1"/>
      <c r="AK7" s="1"/>
      <c r="AL7" s="1"/>
    </row>
    <row r="8" spans="1:38">
      <c r="A8" s="8" t="s">
        <v>34</v>
      </c>
      <c r="B8" s="6">
        <v>10.55</v>
      </c>
      <c r="C8" s="4">
        <f t="shared" si="0"/>
        <v>22.620000000000005</v>
      </c>
      <c r="D8" s="77"/>
      <c r="E8" s="78"/>
      <c r="F8" s="77"/>
      <c r="G8" s="78"/>
      <c r="H8" s="77"/>
      <c r="I8" s="78"/>
      <c r="J8" s="77"/>
      <c r="K8" s="78"/>
      <c r="L8" s="75">
        <v>5</v>
      </c>
      <c r="M8" s="76">
        <v>2.65</v>
      </c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E8" s="1"/>
      <c r="AF8" s="1"/>
      <c r="AG8" s="1"/>
      <c r="AH8" s="1"/>
      <c r="AI8" s="1"/>
      <c r="AJ8" s="1"/>
      <c r="AK8" s="1"/>
      <c r="AL8" s="1"/>
    </row>
    <row r="9" spans="1:38">
      <c r="A9" s="8" t="s">
        <v>35</v>
      </c>
      <c r="B9" s="6">
        <v>0.85</v>
      </c>
      <c r="C9" s="4">
        <f t="shared" si="0"/>
        <v>2.8899999999999997</v>
      </c>
      <c r="D9" s="77"/>
      <c r="E9" s="78"/>
      <c r="F9" s="77"/>
      <c r="G9" s="78"/>
      <c r="H9" s="77"/>
      <c r="I9" s="78"/>
      <c r="J9" s="77"/>
      <c r="K9" s="78"/>
      <c r="L9" s="77"/>
      <c r="M9" s="78"/>
      <c r="N9" s="77"/>
      <c r="O9" s="78"/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E9" s="1"/>
      <c r="AF9" s="1"/>
      <c r="AG9" s="1"/>
      <c r="AH9" s="1"/>
      <c r="AI9" s="1"/>
      <c r="AJ9" s="1"/>
      <c r="AK9" s="1"/>
      <c r="AL9" s="1"/>
    </row>
    <row r="10" spans="1:38">
      <c r="A10" s="8" t="s">
        <v>36</v>
      </c>
      <c r="B10" s="7">
        <v>3.45</v>
      </c>
      <c r="C10" s="4">
        <f t="shared" si="0"/>
        <v>9.42</v>
      </c>
      <c r="D10" s="77"/>
      <c r="E10" s="78"/>
      <c r="F10" s="77"/>
      <c r="G10" s="78"/>
      <c r="H10" s="77"/>
      <c r="I10" s="78"/>
      <c r="J10" s="77"/>
      <c r="K10" s="78"/>
      <c r="L10" s="75">
        <v>1.1000000000000001</v>
      </c>
      <c r="M10" s="76">
        <v>2.1</v>
      </c>
      <c r="N10" s="77"/>
      <c r="O10" s="78"/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E10" s="1"/>
      <c r="AF10" s="1"/>
      <c r="AG10" s="1"/>
      <c r="AH10" s="1"/>
      <c r="AI10" s="1"/>
      <c r="AJ10" s="1"/>
      <c r="AK10" s="1"/>
      <c r="AL10" s="1"/>
    </row>
    <row r="11" spans="1:38">
      <c r="A11" s="8" t="s">
        <v>37</v>
      </c>
      <c r="B11" s="7">
        <v>2.1</v>
      </c>
      <c r="C11" s="4">
        <f t="shared" si="0"/>
        <v>5.4599999999999991</v>
      </c>
      <c r="D11" s="77"/>
      <c r="E11" s="78"/>
      <c r="F11" s="77"/>
      <c r="G11" s="78"/>
      <c r="H11" s="77"/>
      <c r="I11" s="78"/>
      <c r="J11" s="77"/>
      <c r="K11" s="78"/>
      <c r="L11" s="75">
        <v>0.8</v>
      </c>
      <c r="M11" s="76">
        <v>2.1</v>
      </c>
      <c r="N11" s="77"/>
      <c r="O11" s="78"/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E11" s="1"/>
      <c r="AF11" s="1"/>
      <c r="AG11" s="1"/>
      <c r="AH11" s="1"/>
      <c r="AI11" s="1"/>
      <c r="AJ11" s="1"/>
      <c r="AK11" s="1"/>
      <c r="AL11" s="1"/>
    </row>
    <row r="12" spans="1:38">
      <c r="A12" s="8" t="s">
        <v>40</v>
      </c>
      <c r="B12" s="7">
        <v>3.45</v>
      </c>
      <c r="C12" s="4">
        <f t="shared" si="0"/>
        <v>11.73</v>
      </c>
      <c r="D12" s="77"/>
      <c r="E12" s="78"/>
      <c r="F12" s="77"/>
      <c r="G12" s="78"/>
      <c r="H12" s="77"/>
      <c r="I12" s="78"/>
      <c r="J12" s="77"/>
      <c r="K12" s="78"/>
      <c r="L12" s="77"/>
      <c r="M12" s="78"/>
      <c r="N12" s="77"/>
      <c r="O12" s="78"/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E12" s="1"/>
      <c r="AF12" s="1"/>
      <c r="AG12" s="1"/>
      <c r="AH12" s="1"/>
      <c r="AI12" s="1"/>
      <c r="AJ12" s="1"/>
      <c r="AK12" s="1"/>
      <c r="AL12" s="1"/>
    </row>
    <row r="13" spans="1:38">
      <c r="A13" s="8" t="s">
        <v>41</v>
      </c>
      <c r="B13" s="7">
        <v>2.5</v>
      </c>
      <c r="C13" s="4">
        <f t="shared" si="0"/>
        <v>8.5</v>
      </c>
      <c r="D13" s="77"/>
      <c r="E13" s="78"/>
      <c r="F13" s="77"/>
      <c r="G13" s="78"/>
      <c r="H13" s="77"/>
      <c r="I13" s="78"/>
      <c r="J13" s="77"/>
      <c r="K13" s="78"/>
      <c r="L13" s="77"/>
      <c r="M13" s="78"/>
      <c r="N13" s="77"/>
      <c r="O13" s="78"/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E13" s="1"/>
      <c r="AF13" s="1"/>
      <c r="AG13" s="1"/>
      <c r="AH13" s="1"/>
      <c r="AI13" s="1"/>
      <c r="AJ13" s="1"/>
      <c r="AK13" s="1"/>
      <c r="AL13" s="1"/>
    </row>
    <row r="14" spans="1:38">
      <c r="A14" s="8" t="s">
        <v>43</v>
      </c>
      <c r="B14" s="7">
        <v>4.55</v>
      </c>
      <c r="C14" s="4">
        <f t="shared" si="0"/>
        <v>15.469999999999999</v>
      </c>
      <c r="D14" s="77"/>
      <c r="E14" s="78"/>
      <c r="F14" s="77"/>
      <c r="G14" s="78"/>
      <c r="H14" s="77"/>
      <c r="I14" s="78"/>
      <c r="J14" s="77"/>
      <c r="K14" s="78"/>
      <c r="L14" s="77"/>
      <c r="M14" s="78"/>
      <c r="N14" s="77"/>
      <c r="O14" s="78"/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E14" s="1"/>
      <c r="AF14" s="1"/>
      <c r="AG14" s="1"/>
      <c r="AH14" s="1"/>
      <c r="AI14" s="1"/>
      <c r="AJ14" s="1"/>
      <c r="AK14" s="1"/>
      <c r="AL14" s="1"/>
    </row>
    <row r="15" spans="1:38">
      <c r="A15" s="8" t="s">
        <v>44</v>
      </c>
      <c r="B15" s="7">
        <v>19.95</v>
      </c>
      <c r="C15" s="4">
        <f t="shared" si="0"/>
        <v>54.599999999999994</v>
      </c>
      <c r="D15" s="77"/>
      <c r="E15" s="78"/>
      <c r="F15" s="77"/>
      <c r="G15" s="78"/>
      <c r="H15" s="77"/>
      <c r="I15" s="78"/>
      <c r="J15" s="77"/>
      <c r="K15" s="78"/>
      <c r="L15" s="75">
        <v>1.1000000000000001</v>
      </c>
      <c r="M15" s="76">
        <v>2.1</v>
      </c>
      <c r="N15" s="75">
        <v>0.8</v>
      </c>
      <c r="O15" s="76">
        <v>2.1</v>
      </c>
      <c r="P15" s="75">
        <v>1.1000000000000001</v>
      </c>
      <c r="Q15" s="76">
        <v>2.1</v>
      </c>
      <c r="R15" s="75">
        <v>1.1000000000000001</v>
      </c>
      <c r="S15" s="76">
        <v>2.1</v>
      </c>
      <c r="T15" s="77"/>
      <c r="U15" s="78"/>
      <c r="V15" s="77"/>
      <c r="W15" s="78"/>
      <c r="X15" s="77"/>
      <c r="Y15" s="78"/>
      <c r="Z15" s="75">
        <v>2.2000000000000002</v>
      </c>
      <c r="AA15" s="76">
        <v>2.1</v>
      </c>
      <c r="AE15" s="1"/>
      <c r="AF15" s="1"/>
      <c r="AG15" s="1"/>
      <c r="AH15" s="1"/>
      <c r="AI15" s="1"/>
      <c r="AJ15" s="1"/>
      <c r="AK15" s="1"/>
      <c r="AL15" s="1"/>
    </row>
    <row r="16" spans="1:38">
      <c r="A16" s="8" t="s">
        <v>45</v>
      </c>
      <c r="B16" s="6">
        <v>15.6</v>
      </c>
      <c r="C16" s="4">
        <f t="shared" si="0"/>
        <v>44.989999999999995</v>
      </c>
      <c r="D16" s="77"/>
      <c r="E16" s="78"/>
      <c r="F16" s="77"/>
      <c r="G16" s="78"/>
      <c r="H16" s="77"/>
      <c r="I16" s="78"/>
      <c r="J16" s="77"/>
      <c r="K16" s="78"/>
      <c r="L16" s="75">
        <v>0.8</v>
      </c>
      <c r="M16" s="76">
        <v>2.1</v>
      </c>
      <c r="N16" s="75">
        <v>1.1000000000000001</v>
      </c>
      <c r="O16" s="76">
        <v>2.1</v>
      </c>
      <c r="P16" s="75">
        <v>1.1000000000000001</v>
      </c>
      <c r="Q16" s="76">
        <v>2.1</v>
      </c>
      <c r="R16" s="77"/>
      <c r="S16" s="78"/>
      <c r="T16" s="77"/>
      <c r="U16" s="78"/>
      <c r="V16" s="77"/>
      <c r="W16" s="78"/>
      <c r="X16" s="75">
        <v>1.75</v>
      </c>
      <c r="Y16" s="76">
        <v>1</v>
      </c>
      <c r="Z16" s="77"/>
      <c r="AA16" s="78"/>
      <c r="AE16" s="1"/>
      <c r="AF16" s="1"/>
      <c r="AG16" s="1"/>
      <c r="AH16" s="1"/>
      <c r="AI16" s="1"/>
      <c r="AJ16" s="1"/>
      <c r="AK16" s="1"/>
      <c r="AL16" s="1"/>
    </row>
    <row r="17" spans="1:38">
      <c r="A17" s="8" t="s">
        <v>46</v>
      </c>
      <c r="B17" s="6">
        <v>9.35</v>
      </c>
      <c r="C17" s="4">
        <f t="shared" si="0"/>
        <v>27.71</v>
      </c>
      <c r="D17" s="77"/>
      <c r="E17" s="78"/>
      <c r="F17" s="77"/>
      <c r="G17" s="78"/>
      <c r="H17" s="77"/>
      <c r="I17" s="78"/>
      <c r="J17" s="77"/>
      <c r="K17" s="78"/>
      <c r="L17" s="75">
        <v>0.8</v>
      </c>
      <c r="M17" s="76">
        <v>2.1</v>
      </c>
      <c r="N17" s="75">
        <v>0.8</v>
      </c>
      <c r="O17" s="76">
        <v>2.1</v>
      </c>
      <c r="P17" s="77"/>
      <c r="Q17" s="78"/>
      <c r="R17" s="77"/>
      <c r="S17" s="78"/>
      <c r="T17" s="77"/>
      <c r="U17" s="78"/>
      <c r="V17" s="77"/>
      <c r="W17" s="78"/>
      <c r="X17" s="75">
        <v>1.2</v>
      </c>
      <c r="Y17" s="76">
        <v>0.6</v>
      </c>
      <c r="Z17" s="77"/>
      <c r="AA17" s="78"/>
      <c r="AE17" s="1"/>
      <c r="AF17" s="1"/>
      <c r="AG17" s="1"/>
      <c r="AH17" s="1"/>
      <c r="AI17" s="1"/>
      <c r="AJ17" s="1"/>
      <c r="AK17" s="1"/>
      <c r="AL17" s="1"/>
    </row>
    <row r="18" spans="1:38">
      <c r="A18" s="8" t="s">
        <v>47</v>
      </c>
      <c r="B18" s="6">
        <v>8.35</v>
      </c>
      <c r="C18" s="4">
        <f t="shared" si="0"/>
        <v>23.559999999999995</v>
      </c>
      <c r="D18" s="77"/>
      <c r="E18" s="78"/>
      <c r="F18" s="77"/>
      <c r="G18" s="78"/>
      <c r="H18" s="77"/>
      <c r="I18" s="78"/>
      <c r="J18" s="77"/>
      <c r="K18" s="78"/>
      <c r="L18" s="75">
        <v>1.1000000000000001</v>
      </c>
      <c r="M18" s="76">
        <v>2.1</v>
      </c>
      <c r="N18" s="75">
        <v>1.2</v>
      </c>
      <c r="O18" s="76">
        <v>2.1</v>
      </c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E18" s="1"/>
      <c r="AF18" s="1"/>
      <c r="AG18" s="1"/>
      <c r="AH18" s="1"/>
      <c r="AI18" s="1"/>
      <c r="AJ18" s="1"/>
      <c r="AK18" s="1"/>
      <c r="AL18" s="1"/>
    </row>
    <row r="19" spans="1:38">
      <c r="A19" s="8" t="s">
        <v>48</v>
      </c>
      <c r="B19" s="6">
        <v>5.5</v>
      </c>
      <c r="C19" s="4">
        <f t="shared" si="0"/>
        <v>15.34</v>
      </c>
      <c r="D19" s="77"/>
      <c r="E19" s="78"/>
      <c r="F19" s="77"/>
      <c r="G19" s="78"/>
      <c r="H19" s="77"/>
      <c r="I19" s="78"/>
      <c r="J19" s="77"/>
      <c r="K19" s="78"/>
      <c r="L19" s="75">
        <v>0.8</v>
      </c>
      <c r="M19" s="76">
        <v>2.1</v>
      </c>
      <c r="N19" s="75">
        <v>0.8</v>
      </c>
      <c r="O19" s="76">
        <v>2.1</v>
      </c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E19" s="1"/>
      <c r="AF19" s="1"/>
      <c r="AG19" s="1"/>
      <c r="AH19" s="1"/>
      <c r="AI19" s="1"/>
      <c r="AJ19" s="1"/>
      <c r="AK19" s="1"/>
      <c r="AL19" s="1"/>
    </row>
    <row r="20" spans="1:38">
      <c r="A20" s="8" t="s">
        <v>49</v>
      </c>
      <c r="B20" s="6">
        <v>7.9</v>
      </c>
      <c r="C20" s="4">
        <f t="shared" si="0"/>
        <v>21.82</v>
      </c>
      <c r="D20" s="77"/>
      <c r="E20" s="78"/>
      <c r="F20" s="77"/>
      <c r="G20" s="78"/>
      <c r="H20" s="77"/>
      <c r="I20" s="78"/>
      <c r="J20" s="77"/>
      <c r="K20" s="78"/>
      <c r="L20" s="75">
        <v>0.8</v>
      </c>
      <c r="M20" s="76">
        <v>2.1</v>
      </c>
      <c r="N20" s="75">
        <v>0.8</v>
      </c>
      <c r="O20" s="76">
        <v>2.1</v>
      </c>
      <c r="P20" s="75">
        <v>0.8</v>
      </c>
      <c r="Q20" s="76">
        <v>2.1</v>
      </c>
      <c r="R20" s="77"/>
      <c r="S20" s="78"/>
      <c r="T20" s="77"/>
      <c r="U20" s="78"/>
      <c r="V20" s="77"/>
      <c r="W20" s="78"/>
      <c r="X20" s="77"/>
      <c r="Y20" s="78"/>
      <c r="Z20" s="77"/>
      <c r="AA20" s="78"/>
      <c r="AE20" s="1"/>
      <c r="AF20" s="1"/>
      <c r="AG20" s="1"/>
      <c r="AH20" s="1"/>
      <c r="AI20" s="1"/>
      <c r="AJ20" s="1"/>
      <c r="AK20" s="1"/>
      <c r="AL20" s="1"/>
    </row>
    <row r="21" spans="1:38">
      <c r="A21" s="8" t="s">
        <v>50</v>
      </c>
      <c r="B21" s="6">
        <v>6.5</v>
      </c>
      <c r="C21" s="4">
        <f t="shared" si="0"/>
        <v>17.059999999999995</v>
      </c>
      <c r="D21" s="77"/>
      <c r="E21" s="78"/>
      <c r="F21" s="77"/>
      <c r="G21" s="78"/>
      <c r="H21" s="77"/>
      <c r="I21" s="78"/>
      <c r="J21" s="77"/>
      <c r="K21" s="78"/>
      <c r="L21" s="75">
        <v>0.8</v>
      </c>
      <c r="M21" s="76">
        <v>2.1</v>
      </c>
      <c r="N21" s="75">
        <v>0.8</v>
      </c>
      <c r="O21" s="76">
        <v>2.1</v>
      </c>
      <c r="P21" s="75">
        <v>0.8</v>
      </c>
      <c r="Q21" s="76">
        <v>2.1</v>
      </c>
      <c r="R21" s="77"/>
      <c r="S21" s="78"/>
      <c r="T21" s="77"/>
      <c r="U21" s="78"/>
      <c r="V21" s="77"/>
      <c r="W21" s="78"/>
      <c r="X21" s="77"/>
      <c r="Y21" s="78"/>
      <c r="Z21" s="77"/>
      <c r="AA21" s="78"/>
      <c r="AE21" s="1"/>
      <c r="AF21" s="1"/>
      <c r="AG21" s="1"/>
      <c r="AH21" s="1"/>
      <c r="AI21" s="1"/>
      <c r="AJ21" s="1"/>
      <c r="AK21" s="1"/>
      <c r="AL21" s="1"/>
    </row>
    <row r="22" spans="1:38">
      <c r="A22" s="8" t="s">
        <v>51</v>
      </c>
      <c r="B22" s="6">
        <v>9.1999999999999993</v>
      </c>
      <c r="C22" s="4">
        <f t="shared" si="0"/>
        <v>29.599999999999998</v>
      </c>
      <c r="D22" s="77"/>
      <c r="E22" s="78"/>
      <c r="F22" s="77"/>
      <c r="G22" s="78"/>
      <c r="H22" s="77"/>
      <c r="I22" s="78"/>
      <c r="J22" s="77"/>
      <c r="K22" s="78"/>
      <c r="L22" s="75">
        <v>0.8</v>
      </c>
      <c r="M22" s="76">
        <v>2.1</v>
      </c>
      <c r="N22" s="77"/>
      <c r="O22" s="78"/>
      <c r="P22" s="77"/>
      <c r="Q22" s="78"/>
      <c r="R22" s="77"/>
      <c r="S22" s="78"/>
      <c r="T22" s="77"/>
      <c r="U22" s="78"/>
      <c r="V22" s="77"/>
      <c r="W22" s="78"/>
      <c r="X22" s="77"/>
      <c r="Y22" s="78"/>
      <c r="Z22" s="77"/>
      <c r="AA22" s="78"/>
      <c r="AE22" s="1"/>
      <c r="AF22" s="1"/>
      <c r="AG22" s="1"/>
      <c r="AH22" s="1"/>
      <c r="AI22" s="1"/>
      <c r="AJ22" s="1"/>
      <c r="AK22" s="1"/>
      <c r="AL22" s="1"/>
    </row>
    <row r="23" spans="1:38">
      <c r="A23" s="8" t="s">
        <v>52</v>
      </c>
      <c r="B23" s="6">
        <v>3.9</v>
      </c>
      <c r="C23" s="4">
        <f t="shared" si="0"/>
        <v>13.26</v>
      </c>
      <c r="D23" s="77"/>
      <c r="E23" s="78"/>
      <c r="F23" s="77"/>
      <c r="G23" s="78"/>
      <c r="H23" s="77"/>
      <c r="I23" s="78"/>
      <c r="J23" s="77"/>
      <c r="K23" s="78"/>
      <c r="L23" s="77"/>
      <c r="M23" s="78"/>
      <c r="N23" s="77"/>
      <c r="O23" s="78"/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  <c r="AE23" s="1"/>
      <c r="AF23" s="1"/>
      <c r="AG23" s="1"/>
      <c r="AH23" s="1"/>
      <c r="AI23" s="1"/>
      <c r="AJ23" s="1"/>
      <c r="AK23" s="1"/>
      <c r="AL23" s="1"/>
    </row>
    <row r="24" spans="1:38">
      <c r="A24" s="8" t="s">
        <v>53</v>
      </c>
      <c r="B24" s="6">
        <v>4</v>
      </c>
      <c r="C24" s="4">
        <f t="shared" si="0"/>
        <v>11.92</v>
      </c>
      <c r="D24" s="77"/>
      <c r="E24" s="78"/>
      <c r="F24" s="77"/>
      <c r="G24" s="78"/>
      <c r="H24" s="77"/>
      <c r="I24" s="78"/>
      <c r="J24" s="77"/>
      <c r="K24" s="78"/>
      <c r="L24" s="75">
        <v>0.8</v>
      </c>
      <c r="M24" s="76">
        <v>2.1</v>
      </c>
      <c r="N24" s="77"/>
      <c r="O24" s="78"/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E24" s="1"/>
      <c r="AF24" s="1"/>
      <c r="AG24" s="1"/>
      <c r="AH24" s="1"/>
      <c r="AI24" s="1"/>
      <c r="AJ24" s="1"/>
      <c r="AK24" s="1"/>
      <c r="AL24" s="1"/>
    </row>
    <row r="25" spans="1:38">
      <c r="A25" s="8" t="s">
        <v>54</v>
      </c>
      <c r="B25" s="6">
        <v>5.2</v>
      </c>
      <c r="C25" s="4">
        <f t="shared" si="0"/>
        <v>17.68</v>
      </c>
      <c r="D25" s="77"/>
      <c r="E25" s="78"/>
      <c r="F25" s="77"/>
      <c r="G25" s="78"/>
      <c r="H25" s="77"/>
      <c r="I25" s="78"/>
      <c r="J25" s="77"/>
      <c r="K25" s="78"/>
      <c r="L25" s="77"/>
      <c r="M25" s="78"/>
      <c r="N25" s="77"/>
      <c r="O25" s="78"/>
      <c r="P25" s="77"/>
      <c r="Q25" s="78"/>
      <c r="R25" s="77"/>
      <c r="S25" s="78"/>
      <c r="T25" s="77"/>
      <c r="U25" s="78"/>
      <c r="V25" s="77"/>
      <c r="W25" s="78"/>
      <c r="X25" s="77"/>
      <c r="Y25" s="78"/>
      <c r="Z25" s="77"/>
      <c r="AA25" s="78"/>
      <c r="AE25" s="1"/>
      <c r="AF25" s="1"/>
      <c r="AG25" s="1"/>
      <c r="AH25" s="1"/>
      <c r="AI25" s="1"/>
      <c r="AJ25" s="1"/>
      <c r="AK25" s="1"/>
      <c r="AL25" s="1"/>
    </row>
    <row r="26" spans="1:38">
      <c r="A26" s="12" t="s">
        <v>55</v>
      </c>
      <c r="B26" s="47">
        <f>12.95</f>
        <v>12.95</v>
      </c>
      <c r="C26" s="4">
        <f t="shared" si="0"/>
        <v>41.509999999999991</v>
      </c>
      <c r="D26" s="77"/>
      <c r="E26" s="78"/>
      <c r="F26" s="77"/>
      <c r="G26" s="78"/>
      <c r="H26" s="77"/>
      <c r="I26" s="78"/>
      <c r="J26" s="77"/>
      <c r="K26" s="78"/>
      <c r="L26" s="77"/>
      <c r="M26" s="78"/>
      <c r="N26" s="77"/>
      <c r="O26" s="78"/>
      <c r="P26" s="77"/>
      <c r="Q26" s="78"/>
      <c r="R26" s="77"/>
      <c r="S26" s="78"/>
      <c r="T26" s="77"/>
      <c r="U26" s="78"/>
      <c r="V26" s="77"/>
      <c r="W26" s="78"/>
      <c r="X26" s="77"/>
      <c r="Y26" s="78"/>
      <c r="Z26" s="75">
        <v>1.2</v>
      </c>
      <c r="AA26" s="76">
        <v>2.1</v>
      </c>
      <c r="AE26" s="1"/>
      <c r="AF26" s="1"/>
      <c r="AG26" s="1"/>
      <c r="AH26" s="1"/>
      <c r="AI26" s="1"/>
      <c r="AJ26" s="1"/>
      <c r="AK26" s="1"/>
      <c r="AL26" s="1"/>
    </row>
    <row r="27" spans="1:38">
      <c r="A27" s="12" t="s">
        <v>154</v>
      </c>
      <c r="B27" s="47">
        <v>2</v>
      </c>
      <c r="C27" s="4">
        <f t="shared" si="0"/>
        <v>6.8</v>
      </c>
      <c r="D27" s="77"/>
      <c r="E27" s="78"/>
      <c r="F27" s="77"/>
      <c r="G27" s="78"/>
      <c r="H27" s="77"/>
      <c r="I27" s="78"/>
      <c r="J27" s="77"/>
      <c r="K27" s="78"/>
      <c r="L27" s="77"/>
      <c r="M27" s="78"/>
      <c r="N27" s="77"/>
      <c r="O27" s="78"/>
      <c r="P27" s="77"/>
      <c r="Q27" s="78"/>
      <c r="R27" s="77"/>
      <c r="S27" s="78"/>
      <c r="T27" s="77"/>
      <c r="U27" s="78"/>
      <c r="V27" s="77"/>
      <c r="W27" s="78"/>
      <c r="X27" s="77"/>
      <c r="Y27" s="78"/>
      <c r="Z27" s="77"/>
      <c r="AA27" s="78"/>
      <c r="AE27" s="1"/>
      <c r="AF27" s="1"/>
      <c r="AG27" s="1"/>
      <c r="AH27" s="1"/>
      <c r="AI27" s="1"/>
      <c r="AJ27" s="1"/>
      <c r="AK27" s="1"/>
      <c r="AL27" s="1"/>
    </row>
    <row r="28" spans="1:38">
      <c r="A28" s="12" t="s">
        <v>155</v>
      </c>
      <c r="B28" s="47">
        <v>3.35</v>
      </c>
      <c r="C28" s="4">
        <f t="shared" si="0"/>
        <v>11.39</v>
      </c>
      <c r="D28" s="77"/>
      <c r="E28" s="78"/>
      <c r="F28" s="77"/>
      <c r="G28" s="78"/>
      <c r="H28" s="77"/>
      <c r="I28" s="78"/>
      <c r="J28" s="77"/>
      <c r="K28" s="78"/>
      <c r="L28" s="77"/>
      <c r="M28" s="78"/>
      <c r="N28" s="77"/>
      <c r="O28" s="78"/>
      <c r="P28" s="77"/>
      <c r="Q28" s="78"/>
      <c r="R28" s="77"/>
      <c r="S28" s="78"/>
      <c r="T28" s="77"/>
      <c r="U28" s="78"/>
      <c r="V28" s="77"/>
      <c r="W28" s="78"/>
      <c r="X28" s="77"/>
      <c r="Y28" s="78"/>
      <c r="Z28" s="77"/>
      <c r="AA28" s="78"/>
      <c r="AE28" s="1"/>
      <c r="AF28" s="1"/>
      <c r="AG28" s="1"/>
      <c r="AH28" s="1"/>
      <c r="AI28" s="1"/>
      <c r="AJ28" s="1"/>
      <c r="AK28" s="1"/>
      <c r="AL28" s="1"/>
    </row>
    <row r="29" spans="1:38">
      <c r="A29" s="12" t="s">
        <v>156</v>
      </c>
      <c r="B29" s="47">
        <v>5.55</v>
      </c>
      <c r="C29" s="4">
        <f t="shared" si="0"/>
        <v>13.409999999999997</v>
      </c>
      <c r="D29" s="77"/>
      <c r="E29" s="78"/>
      <c r="F29" s="77"/>
      <c r="G29" s="78"/>
      <c r="H29" s="77"/>
      <c r="I29" s="78"/>
      <c r="J29" s="77"/>
      <c r="K29" s="78"/>
      <c r="L29" s="90">
        <v>0.9</v>
      </c>
      <c r="M29" s="91">
        <v>2.1</v>
      </c>
      <c r="N29" s="90">
        <v>0.8</v>
      </c>
      <c r="O29" s="91">
        <v>2.1</v>
      </c>
      <c r="P29" s="90">
        <v>0.9</v>
      </c>
      <c r="Q29" s="91">
        <v>2.1</v>
      </c>
      <c r="R29" s="77"/>
      <c r="S29" s="78"/>
      <c r="T29" s="77"/>
      <c r="U29" s="78"/>
      <c r="V29" s="77"/>
      <c r="W29" s="78"/>
      <c r="X29" s="77"/>
      <c r="Y29" s="78"/>
      <c r="Z29" s="77"/>
      <c r="AA29" s="78"/>
      <c r="AE29" s="1"/>
      <c r="AF29" s="1"/>
      <c r="AG29" s="1"/>
      <c r="AH29" s="1"/>
      <c r="AI29" s="1"/>
      <c r="AJ29" s="1"/>
      <c r="AK29" s="1"/>
      <c r="AL29" s="1"/>
    </row>
    <row r="30" spans="1:38">
      <c r="A30" s="12" t="s">
        <v>157</v>
      </c>
      <c r="B30" s="47">
        <v>2</v>
      </c>
      <c r="C30" s="4">
        <f t="shared" si="0"/>
        <v>6.8</v>
      </c>
      <c r="D30" s="77"/>
      <c r="E30" s="78"/>
      <c r="F30" s="77"/>
      <c r="G30" s="78"/>
      <c r="H30" s="77"/>
      <c r="I30" s="78"/>
      <c r="J30" s="77"/>
      <c r="K30" s="78"/>
      <c r="L30" s="77"/>
      <c r="M30" s="78"/>
      <c r="N30" s="77"/>
      <c r="O30" s="78"/>
      <c r="P30" s="77"/>
      <c r="Q30" s="78"/>
      <c r="R30" s="77"/>
      <c r="S30" s="78"/>
      <c r="T30" s="77"/>
      <c r="U30" s="78"/>
      <c r="V30" s="77"/>
      <c r="W30" s="78"/>
      <c r="X30" s="77"/>
      <c r="Y30" s="78"/>
      <c r="Z30" s="77"/>
      <c r="AA30" s="78"/>
      <c r="AE30" s="1"/>
      <c r="AF30" s="1"/>
      <c r="AG30" s="1"/>
      <c r="AH30" s="1"/>
      <c r="AI30" s="1"/>
      <c r="AJ30" s="1"/>
      <c r="AK30" s="1"/>
      <c r="AL30" s="1"/>
    </row>
    <row r="31" spans="1:38">
      <c r="A31" s="12" t="s">
        <v>158</v>
      </c>
      <c r="B31" s="47">
        <v>6.9</v>
      </c>
      <c r="C31" s="4">
        <f t="shared" si="0"/>
        <v>19.05</v>
      </c>
      <c r="D31" s="77"/>
      <c r="E31" s="78"/>
      <c r="F31" s="77"/>
      <c r="G31" s="78"/>
      <c r="H31" s="77"/>
      <c r="I31" s="78"/>
      <c r="J31" s="77"/>
      <c r="K31" s="78"/>
      <c r="L31" s="90">
        <v>2.1</v>
      </c>
      <c r="M31" s="91">
        <v>2.1</v>
      </c>
      <c r="N31" s="77"/>
      <c r="O31" s="78"/>
      <c r="P31" s="77"/>
      <c r="Q31" s="78"/>
      <c r="R31" s="77"/>
      <c r="S31" s="78"/>
      <c r="T31" s="77"/>
      <c r="U31" s="78"/>
      <c r="V31" s="77"/>
      <c r="W31" s="78"/>
      <c r="X31" s="77"/>
      <c r="Y31" s="78"/>
      <c r="Z31" s="77"/>
      <c r="AA31" s="78"/>
      <c r="AE31" s="1"/>
      <c r="AF31" s="1"/>
      <c r="AG31" s="1"/>
      <c r="AH31" s="1"/>
      <c r="AI31" s="1"/>
      <c r="AJ31" s="1"/>
      <c r="AK31" s="1"/>
      <c r="AL31" s="1"/>
    </row>
    <row r="32" spans="1:38">
      <c r="A32" s="12" t="s">
        <v>159</v>
      </c>
      <c r="B32" s="47">
        <v>6.2</v>
      </c>
      <c r="C32" s="4">
        <f t="shared" si="0"/>
        <v>21.08</v>
      </c>
      <c r="D32" s="77"/>
      <c r="E32" s="78"/>
      <c r="F32" s="77"/>
      <c r="G32" s="78"/>
      <c r="H32" s="77"/>
      <c r="I32" s="78"/>
      <c r="J32" s="77"/>
      <c r="K32" s="78"/>
      <c r="L32" s="77"/>
      <c r="M32" s="78"/>
      <c r="N32" s="77"/>
      <c r="O32" s="78"/>
      <c r="P32" s="77"/>
      <c r="Q32" s="78"/>
      <c r="R32" s="77"/>
      <c r="S32" s="78"/>
      <c r="T32" s="77"/>
      <c r="U32" s="78"/>
      <c r="V32" s="77"/>
      <c r="W32" s="78"/>
      <c r="X32" s="77"/>
      <c r="Y32" s="78"/>
      <c r="Z32" s="77"/>
      <c r="AA32" s="78"/>
      <c r="AE32" s="1"/>
      <c r="AF32" s="1"/>
      <c r="AG32" s="1"/>
      <c r="AH32" s="1"/>
      <c r="AI32" s="1"/>
      <c r="AJ32" s="1"/>
      <c r="AK32" s="1"/>
      <c r="AL32" s="1"/>
    </row>
    <row r="33" spans="1:38">
      <c r="A33" s="12" t="s">
        <v>161</v>
      </c>
      <c r="B33" s="47">
        <v>3.35</v>
      </c>
      <c r="C33" s="4">
        <f t="shared" si="0"/>
        <v>11.39</v>
      </c>
      <c r="D33" s="77"/>
      <c r="E33" s="78"/>
      <c r="F33" s="77"/>
      <c r="G33" s="78"/>
      <c r="H33" s="77"/>
      <c r="I33" s="78"/>
      <c r="J33" s="77"/>
      <c r="K33" s="78"/>
      <c r="L33" s="77"/>
      <c r="M33" s="78"/>
      <c r="N33" s="77"/>
      <c r="O33" s="78"/>
      <c r="P33" s="77"/>
      <c r="Q33" s="78"/>
      <c r="R33" s="77"/>
      <c r="S33" s="78"/>
      <c r="T33" s="77"/>
      <c r="U33" s="78"/>
      <c r="V33" s="77"/>
      <c r="W33" s="78"/>
      <c r="X33" s="77"/>
      <c r="Y33" s="78"/>
      <c r="Z33" s="77"/>
      <c r="AA33" s="78"/>
      <c r="AE33" s="1"/>
      <c r="AF33" s="1"/>
      <c r="AG33" s="1"/>
      <c r="AH33" s="1"/>
      <c r="AI33" s="1"/>
      <c r="AJ33" s="1"/>
      <c r="AK33" s="1"/>
      <c r="AL33" s="1"/>
    </row>
    <row r="34" spans="1:38">
      <c r="A34" s="12" t="s">
        <v>162</v>
      </c>
      <c r="B34" s="47">
        <v>11.55</v>
      </c>
      <c r="C34" s="4">
        <f t="shared" si="0"/>
        <v>37.590000000000003</v>
      </c>
      <c r="D34" s="77"/>
      <c r="E34" s="78"/>
      <c r="F34" s="77"/>
      <c r="G34" s="78"/>
      <c r="H34" s="77"/>
      <c r="I34" s="78"/>
      <c r="J34" s="77"/>
      <c r="K34" s="78"/>
      <c r="L34" s="90">
        <v>0.8</v>
      </c>
      <c r="M34" s="91">
        <v>2.1</v>
      </c>
      <c r="N34" s="77"/>
      <c r="O34" s="78"/>
      <c r="P34" s="77"/>
      <c r="Q34" s="78"/>
      <c r="R34" s="77"/>
      <c r="S34" s="78"/>
      <c r="T34" s="77"/>
      <c r="U34" s="78"/>
      <c r="V34" s="77"/>
      <c r="W34" s="78"/>
      <c r="X34" s="77"/>
      <c r="Y34" s="78"/>
      <c r="Z34" s="77"/>
      <c r="AA34" s="78"/>
      <c r="AE34" s="1"/>
      <c r="AF34" s="1"/>
      <c r="AG34" s="1"/>
      <c r="AH34" s="1"/>
      <c r="AI34" s="1"/>
      <c r="AJ34" s="1"/>
      <c r="AK34" s="1"/>
      <c r="AL34" s="1"/>
    </row>
    <row r="35" spans="1:38">
      <c r="A35" s="12" t="s">
        <v>167</v>
      </c>
      <c r="B35" s="47">
        <v>2</v>
      </c>
      <c r="C35" s="4">
        <f t="shared" si="0"/>
        <v>5.1199999999999992</v>
      </c>
      <c r="D35" s="77"/>
      <c r="E35" s="78"/>
      <c r="F35" s="77"/>
      <c r="G35" s="78"/>
      <c r="H35" s="77"/>
      <c r="I35" s="78"/>
      <c r="J35" s="77"/>
      <c r="K35" s="78"/>
      <c r="L35" s="90">
        <v>0.8</v>
      </c>
      <c r="M35" s="91">
        <v>2.1</v>
      </c>
      <c r="N35" s="77"/>
      <c r="O35" s="78"/>
      <c r="P35" s="77"/>
      <c r="Q35" s="78"/>
      <c r="R35" s="77"/>
      <c r="S35" s="78"/>
      <c r="T35" s="77"/>
      <c r="U35" s="78"/>
      <c r="V35" s="77"/>
      <c r="W35" s="78"/>
      <c r="X35" s="77"/>
      <c r="Y35" s="78"/>
      <c r="Z35" s="77"/>
      <c r="AA35" s="78"/>
      <c r="AE35" s="1"/>
      <c r="AF35" s="1"/>
      <c r="AG35" s="1"/>
      <c r="AH35" s="1"/>
      <c r="AI35" s="1"/>
      <c r="AJ35" s="1"/>
      <c r="AK35" s="1"/>
      <c r="AL35" s="1"/>
    </row>
    <row r="36" spans="1:38" ht="15.75" thickBot="1">
      <c r="A36" s="25" t="s">
        <v>168</v>
      </c>
      <c r="B36" s="20">
        <v>2.2000000000000002</v>
      </c>
      <c r="C36" s="21">
        <f t="shared" si="0"/>
        <v>3.0700000000000003</v>
      </c>
      <c r="D36" s="94"/>
      <c r="E36" s="95"/>
      <c r="F36" s="94"/>
      <c r="G36" s="95"/>
      <c r="H36" s="94"/>
      <c r="I36" s="95"/>
      <c r="J36" s="94"/>
      <c r="K36" s="95"/>
      <c r="L36" s="96">
        <v>2.1</v>
      </c>
      <c r="M36" s="97">
        <v>2.1</v>
      </c>
      <c r="N36" s="94"/>
      <c r="O36" s="95"/>
      <c r="P36" s="94"/>
      <c r="Q36" s="95"/>
      <c r="R36" s="94"/>
      <c r="S36" s="95"/>
      <c r="T36" s="94"/>
      <c r="U36" s="95"/>
      <c r="V36" s="94"/>
      <c r="W36" s="95"/>
      <c r="X36" s="94"/>
      <c r="Y36" s="95"/>
      <c r="Z36" s="94"/>
      <c r="AA36" s="95"/>
      <c r="AE36" s="1"/>
      <c r="AF36" s="1"/>
      <c r="AG36" s="1"/>
      <c r="AH36" s="1"/>
      <c r="AI36" s="1"/>
      <c r="AJ36" s="1"/>
      <c r="AK36" s="1"/>
      <c r="AL36" s="1"/>
    </row>
    <row r="37" spans="1:38">
      <c r="A37" s="8" t="s">
        <v>57</v>
      </c>
      <c r="B37" s="6">
        <v>2.15</v>
      </c>
      <c r="C37" s="4">
        <f t="shared" si="0"/>
        <v>7.31</v>
      </c>
      <c r="D37" s="77"/>
      <c r="E37" s="78"/>
      <c r="F37" s="77"/>
      <c r="G37" s="78"/>
      <c r="H37" s="77"/>
      <c r="I37" s="78"/>
      <c r="J37" s="77"/>
      <c r="K37" s="78"/>
      <c r="L37" s="77"/>
      <c r="M37" s="78"/>
      <c r="N37" s="77"/>
      <c r="O37" s="78"/>
      <c r="P37" s="77"/>
      <c r="Q37" s="78"/>
      <c r="R37" s="77"/>
      <c r="S37" s="78"/>
      <c r="T37" s="77"/>
      <c r="U37" s="78"/>
      <c r="V37" s="77"/>
      <c r="W37" s="78"/>
      <c r="X37" s="77"/>
      <c r="Y37" s="78"/>
      <c r="Z37" s="77"/>
      <c r="AA37" s="78"/>
      <c r="AE37" s="1"/>
      <c r="AF37" s="1"/>
      <c r="AG37" s="1"/>
      <c r="AH37" s="1"/>
      <c r="AI37" s="1"/>
      <c r="AJ37" s="1"/>
      <c r="AK37" s="1"/>
      <c r="AL37" s="1"/>
    </row>
    <row r="38" spans="1:38">
      <c r="A38" s="8" t="s">
        <v>58</v>
      </c>
      <c r="B38" s="6">
        <v>12.7</v>
      </c>
      <c r="C38" s="4">
        <f t="shared" si="0"/>
        <v>43.18</v>
      </c>
      <c r="D38" s="77"/>
      <c r="E38" s="78"/>
      <c r="F38" s="77"/>
      <c r="G38" s="78"/>
      <c r="H38" s="77"/>
      <c r="I38" s="78"/>
      <c r="J38" s="77"/>
      <c r="K38" s="78"/>
      <c r="L38" s="77"/>
      <c r="M38" s="78"/>
      <c r="N38" s="77"/>
      <c r="O38" s="78"/>
      <c r="P38" s="77"/>
      <c r="Q38" s="78"/>
      <c r="R38" s="77"/>
      <c r="S38" s="78"/>
      <c r="T38" s="77"/>
      <c r="U38" s="78"/>
      <c r="V38" s="77"/>
      <c r="W38" s="78"/>
      <c r="X38" s="77"/>
      <c r="Y38" s="78"/>
      <c r="Z38" s="77"/>
      <c r="AA38" s="78"/>
      <c r="AE38" s="3"/>
      <c r="AF38" s="3"/>
      <c r="AG38" s="3"/>
      <c r="AH38" s="3"/>
      <c r="AI38" s="3"/>
      <c r="AJ38" s="3"/>
      <c r="AK38" s="3"/>
      <c r="AL38" s="3"/>
    </row>
    <row r="39" spans="1:38">
      <c r="A39" s="8" t="s">
        <v>59</v>
      </c>
      <c r="B39" s="6">
        <v>3.3</v>
      </c>
      <c r="C39" s="4">
        <f t="shared" si="0"/>
        <v>11.219999999999999</v>
      </c>
      <c r="D39" s="77"/>
      <c r="E39" s="78"/>
      <c r="F39" s="77"/>
      <c r="G39" s="78"/>
      <c r="H39" s="77"/>
      <c r="I39" s="78"/>
      <c r="J39" s="77"/>
      <c r="K39" s="78"/>
      <c r="L39" s="77"/>
      <c r="M39" s="78"/>
      <c r="N39" s="77"/>
      <c r="O39" s="78"/>
      <c r="P39" s="77"/>
      <c r="Q39" s="78"/>
      <c r="R39" s="77"/>
      <c r="S39" s="78"/>
      <c r="T39" s="77"/>
      <c r="U39" s="78"/>
      <c r="V39" s="77"/>
      <c r="W39" s="78"/>
      <c r="X39" s="77"/>
      <c r="Y39" s="78"/>
      <c r="Z39" s="77"/>
      <c r="AA39" s="78"/>
    </row>
    <row r="40" spans="1:38">
      <c r="A40" s="8" t="s">
        <v>60</v>
      </c>
      <c r="B40" s="6">
        <v>5.32</v>
      </c>
      <c r="C40" s="4">
        <f t="shared" ref="C40:C80" si="1">(B40*$A$3)-((D40*E40)+(F40*G40)+(H40*I40)+(J40*K40)+(L40*M40)+(N40*O40)+(P40*Q40)+(R40*S40)+(T40*U40)+(V40*W40)+(X40*Y40)+(Z40*AA40))</f>
        <v>18.088000000000001</v>
      </c>
      <c r="D40" s="77"/>
      <c r="E40" s="78"/>
      <c r="F40" s="77"/>
      <c r="G40" s="78"/>
      <c r="H40" s="77"/>
      <c r="I40" s="78"/>
      <c r="J40" s="77"/>
      <c r="K40" s="78"/>
      <c r="L40" s="77"/>
      <c r="M40" s="78"/>
      <c r="N40" s="77"/>
      <c r="O40" s="78"/>
      <c r="P40" s="77"/>
      <c r="Q40" s="78"/>
      <c r="R40" s="77"/>
      <c r="S40" s="78"/>
      <c r="T40" s="77"/>
      <c r="U40" s="78"/>
      <c r="V40" s="77"/>
      <c r="W40" s="78"/>
      <c r="X40" s="77"/>
      <c r="Y40" s="78"/>
      <c r="Z40" s="77"/>
      <c r="AA40" s="78"/>
    </row>
    <row r="41" spans="1:38">
      <c r="A41" s="8" t="s">
        <v>61</v>
      </c>
      <c r="B41" s="6">
        <v>8.77</v>
      </c>
      <c r="C41" s="4">
        <f t="shared" si="1"/>
        <v>24.777999999999999</v>
      </c>
      <c r="D41" s="77"/>
      <c r="E41" s="78"/>
      <c r="F41" s="77"/>
      <c r="G41" s="78"/>
      <c r="H41" s="77"/>
      <c r="I41" s="78"/>
      <c r="J41" s="77"/>
      <c r="K41" s="78"/>
      <c r="L41" s="75">
        <v>0.8</v>
      </c>
      <c r="M41" s="76">
        <v>2.1</v>
      </c>
      <c r="N41" s="75">
        <v>0.8</v>
      </c>
      <c r="O41" s="76">
        <v>2.1</v>
      </c>
      <c r="P41" s="75">
        <v>0.8</v>
      </c>
      <c r="Q41" s="76">
        <v>2.1</v>
      </c>
      <c r="R41" s="77"/>
      <c r="S41" s="78"/>
      <c r="T41" s="77"/>
      <c r="U41" s="78"/>
      <c r="V41" s="77"/>
      <c r="W41" s="78"/>
      <c r="X41" s="77"/>
      <c r="Y41" s="78"/>
      <c r="Z41" s="77"/>
      <c r="AA41" s="78"/>
    </row>
    <row r="42" spans="1:38">
      <c r="A42" s="8" t="s">
        <v>62</v>
      </c>
      <c r="B42" s="6">
        <v>12.7</v>
      </c>
      <c r="C42" s="4">
        <f t="shared" si="1"/>
        <v>43.18</v>
      </c>
      <c r="D42" s="77"/>
      <c r="E42" s="78"/>
      <c r="F42" s="77"/>
      <c r="G42" s="78"/>
      <c r="H42" s="77"/>
      <c r="I42" s="78"/>
      <c r="J42" s="77"/>
      <c r="K42" s="78"/>
      <c r="L42" s="77"/>
      <c r="M42" s="78"/>
      <c r="N42" s="77"/>
      <c r="O42" s="78"/>
      <c r="P42" s="77"/>
      <c r="Q42" s="78"/>
      <c r="R42" s="77"/>
      <c r="S42" s="78"/>
      <c r="T42" s="77"/>
      <c r="U42" s="78"/>
      <c r="V42" s="77"/>
      <c r="W42" s="78"/>
      <c r="X42" s="77"/>
      <c r="Y42" s="78"/>
      <c r="Z42" s="77"/>
      <c r="AA42" s="78"/>
    </row>
    <row r="43" spans="1:38">
      <c r="A43" s="8" t="s">
        <v>64</v>
      </c>
      <c r="B43" s="6">
        <v>8.77</v>
      </c>
      <c r="C43" s="4">
        <f t="shared" si="1"/>
        <v>24.357999999999997</v>
      </c>
      <c r="D43" s="77"/>
      <c r="E43" s="78"/>
      <c r="F43" s="77"/>
      <c r="G43" s="78"/>
      <c r="H43" s="77"/>
      <c r="I43" s="78"/>
      <c r="J43" s="77"/>
      <c r="K43" s="78"/>
      <c r="L43" s="75">
        <v>0.9</v>
      </c>
      <c r="M43" s="76">
        <v>2.1</v>
      </c>
      <c r="N43" s="75">
        <v>0.9</v>
      </c>
      <c r="O43" s="76">
        <v>2.1</v>
      </c>
      <c r="P43" s="75">
        <v>0.8</v>
      </c>
      <c r="Q43" s="76">
        <v>2.1</v>
      </c>
      <c r="R43" s="77"/>
      <c r="S43" s="78"/>
      <c r="T43" s="77"/>
      <c r="U43" s="78"/>
      <c r="V43" s="77"/>
      <c r="W43" s="78"/>
      <c r="X43" s="77"/>
      <c r="Y43" s="78"/>
      <c r="Z43" s="77"/>
      <c r="AA43" s="78"/>
    </row>
    <row r="44" spans="1:38">
      <c r="A44" s="8" t="s">
        <v>66</v>
      </c>
      <c r="B44" s="6">
        <v>7.72</v>
      </c>
      <c r="C44" s="4">
        <f t="shared" si="1"/>
        <v>26.247999999999998</v>
      </c>
      <c r="D44" s="77"/>
      <c r="E44" s="78"/>
      <c r="F44" s="77"/>
      <c r="G44" s="78"/>
      <c r="H44" s="77"/>
      <c r="I44" s="78"/>
      <c r="J44" s="77"/>
      <c r="K44" s="78"/>
      <c r="L44" s="77"/>
      <c r="M44" s="78"/>
      <c r="N44" s="77"/>
      <c r="O44" s="78"/>
      <c r="P44" s="77"/>
      <c r="Q44" s="78"/>
      <c r="R44" s="77"/>
      <c r="S44" s="78"/>
      <c r="T44" s="77"/>
      <c r="U44" s="78"/>
      <c r="V44" s="77"/>
      <c r="W44" s="78"/>
      <c r="X44" s="77"/>
      <c r="Y44" s="78"/>
      <c r="Z44" s="77"/>
      <c r="AA44" s="78"/>
    </row>
    <row r="45" spans="1:38">
      <c r="A45" s="8" t="s">
        <v>67</v>
      </c>
      <c r="B45" s="6">
        <v>4.45</v>
      </c>
      <c r="C45" s="4">
        <f t="shared" si="1"/>
        <v>15.13</v>
      </c>
      <c r="D45" s="77"/>
      <c r="E45" s="78"/>
      <c r="F45" s="77"/>
      <c r="G45" s="78"/>
      <c r="H45" s="77"/>
      <c r="I45" s="78"/>
      <c r="J45" s="77"/>
      <c r="K45" s="78"/>
      <c r="L45" s="77"/>
      <c r="M45" s="78"/>
      <c r="N45" s="77"/>
      <c r="O45" s="78"/>
      <c r="P45" s="77"/>
      <c r="Q45" s="78"/>
      <c r="R45" s="77"/>
      <c r="S45" s="78"/>
      <c r="T45" s="77"/>
      <c r="U45" s="78"/>
      <c r="V45" s="77"/>
      <c r="W45" s="78"/>
      <c r="X45" s="77"/>
      <c r="Y45" s="78"/>
      <c r="Z45" s="77"/>
      <c r="AA45" s="78"/>
    </row>
    <row r="46" spans="1:38">
      <c r="A46" s="8" t="s">
        <v>68</v>
      </c>
      <c r="B46" s="6">
        <v>6.65</v>
      </c>
      <c r="C46" s="4">
        <f t="shared" si="1"/>
        <v>22.61</v>
      </c>
      <c r="D46" s="77"/>
      <c r="E46" s="78"/>
      <c r="F46" s="77"/>
      <c r="G46" s="78"/>
      <c r="H46" s="77"/>
      <c r="I46" s="78"/>
      <c r="J46" s="77"/>
      <c r="K46" s="78"/>
      <c r="L46" s="77"/>
      <c r="M46" s="78"/>
      <c r="N46" s="77"/>
      <c r="O46" s="78"/>
      <c r="P46" s="77"/>
      <c r="Q46" s="78"/>
      <c r="R46" s="77"/>
      <c r="S46" s="78"/>
      <c r="T46" s="77"/>
      <c r="U46" s="78"/>
      <c r="V46" s="77"/>
      <c r="W46" s="78"/>
      <c r="X46" s="77"/>
      <c r="Y46" s="78"/>
      <c r="Z46" s="77"/>
      <c r="AA46" s="78"/>
    </row>
    <row r="47" spans="1:38">
      <c r="A47" s="8" t="s">
        <v>69</v>
      </c>
      <c r="B47" s="6">
        <v>4.0199999999999996</v>
      </c>
      <c r="C47" s="4">
        <f t="shared" si="1"/>
        <v>7.4519999999999973</v>
      </c>
      <c r="D47" s="77"/>
      <c r="E47" s="78"/>
      <c r="F47" s="77"/>
      <c r="G47" s="78"/>
      <c r="H47" s="77"/>
      <c r="I47" s="78"/>
      <c r="J47" s="77"/>
      <c r="K47" s="78"/>
      <c r="L47" s="75">
        <v>1.48</v>
      </c>
      <c r="M47" s="76">
        <v>2.1</v>
      </c>
      <c r="N47" s="75">
        <v>1.48</v>
      </c>
      <c r="O47" s="76">
        <v>2.1</v>
      </c>
      <c r="P47" s="77"/>
      <c r="Q47" s="78"/>
      <c r="R47" s="77"/>
      <c r="S47" s="78"/>
      <c r="T47" s="77"/>
      <c r="U47" s="78"/>
      <c r="V47" s="77"/>
      <c r="W47" s="78"/>
      <c r="X47" s="77"/>
      <c r="Y47" s="78"/>
      <c r="Z47" s="77"/>
      <c r="AA47" s="78"/>
    </row>
    <row r="48" spans="1:38">
      <c r="A48" s="8" t="s">
        <v>70</v>
      </c>
      <c r="B48" s="6">
        <v>2.95</v>
      </c>
      <c r="C48" s="4">
        <f t="shared" si="1"/>
        <v>10.030000000000001</v>
      </c>
      <c r="D48" s="77"/>
      <c r="E48" s="78"/>
      <c r="F48" s="77"/>
      <c r="G48" s="78"/>
      <c r="H48" s="77"/>
      <c r="I48" s="78"/>
      <c r="J48" s="77"/>
      <c r="K48" s="78"/>
      <c r="L48" s="77"/>
      <c r="M48" s="78"/>
      <c r="N48" s="77"/>
      <c r="O48" s="78"/>
      <c r="P48" s="77"/>
      <c r="Q48" s="78"/>
      <c r="R48" s="77"/>
      <c r="S48" s="78"/>
      <c r="T48" s="77"/>
      <c r="U48" s="78"/>
      <c r="V48" s="77"/>
      <c r="W48" s="78"/>
      <c r="X48" s="77"/>
      <c r="Y48" s="78"/>
      <c r="Z48" s="77"/>
      <c r="AA48" s="78"/>
    </row>
    <row r="49" spans="1:27">
      <c r="A49" s="8" t="s">
        <v>71</v>
      </c>
      <c r="B49" s="6">
        <v>1.95</v>
      </c>
      <c r="C49" s="4">
        <f t="shared" si="1"/>
        <v>6.63</v>
      </c>
      <c r="D49" s="77"/>
      <c r="E49" s="78"/>
      <c r="F49" s="77"/>
      <c r="G49" s="78"/>
      <c r="H49" s="77"/>
      <c r="I49" s="78"/>
      <c r="J49" s="77"/>
      <c r="K49" s="78"/>
      <c r="L49" s="77"/>
      <c r="M49" s="78"/>
      <c r="N49" s="77"/>
      <c r="O49" s="78"/>
      <c r="P49" s="77"/>
      <c r="Q49" s="78"/>
      <c r="R49" s="77"/>
      <c r="S49" s="78"/>
      <c r="T49" s="77"/>
      <c r="U49" s="78"/>
      <c r="V49" s="77"/>
      <c r="W49" s="78"/>
      <c r="X49" s="77"/>
      <c r="Y49" s="78"/>
      <c r="Z49" s="77"/>
      <c r="AA49" s="78"/>
    </row>
    <row r="50" spans="1:27">
      <c r="A50" s="8" t="s">
        <v>72</v>
      </c>
      <c r="B50" s="6">
        <v>4.4000000000000004</v>
      </c>
      <c r="C50" s="4">
        <f t="shared" si="1"/>
        <v>10.55</v>
      </c>
      <c r="D50" s="77"/>
      <c r="E50" s="78"/>
      <c r="F50" s="77"/>
      <c r="G50" s="78"/>
      <c r="H50" s="77"/>
      <c r="I50" s="78"/>
      <c r="J50" s="77"/>
      <c r="K50" s="78"/>
      <c r="L50" s="75">
        <v>2.1</v>
      </c>
      <c r="M50" s="76">
        <v>2.1</v>
      </c>
      <c r="N50" s="77"/>
      <c r="O50" s="78"/>
      <c r="P50" s="77"/>
      <c r="Q50" s="78"/>
      <c r="R50" s="77"/>
      <c r="S50" s="78"/>
      <c r="T50" s="77"/>
      <c r="U50" s="78"/>
      <c r="V50" s="77"/>
      <c r="W50" s="78"/>
      <c r="X50" s="77"/>
      <c r="Y50" s="78"/>
      <c r="Z50" s="77"/>
      <c r="AA50" s="78"/>
    </row>
    <row r="51" spans="1:27">
      <c r="A51" s="8" t="s">
        <v>73</v>
      </c>
      <c r="B51" s="6">
        <v>6.65</v>
      </c>
      <c r="C51" s="4">
        <f t="shared" si="1"/>
        <v>20.93</v>
      </c>
      <c r="D51" s="77"/>
      <c r="E51" s="78"/>
      <c r="F51" s="77"/>
      <c r="G51" s="78"/>
      <c r="H51" s="77"/>
      <c r="I51" s="78"/>
      <c r="J51" s="77"/>
      <c r="K51" s="78"/>
      <c r="L51" s="75">
        <v>0.8</v>
      </c>
      <c r="M51" s="76">
        <v>2.1</v>
      </c>
      <c r="N51" s="77"/>
      <c r="O51" s="78"/>
      <c r="P51" s="77"/>
      <c r="Q51" s="78"/>
      <c r="R51" s="77"/>
      <c r="S51" s="78"/>
      <c r="T51" s="77"/>
      <c r="U51" s="78"/>
      <c r="V51" s="77"/>
      <c r="W51" s="78"/>
      <c r="X51" s="77"/>
      <c r="Y51" s="78"/>
      <c r="Z51" s="77"/>
      <c r="AA51" s="78"/>
    </row>
    <row r="52" spans="1:27">
      <c r="A52" s="8" t="s">
        <v>74</v>
      </c>
      <c r="B52" s="6">
        <v>4.45</v>
      </c>
      <c r="C52" s="4">
        <f t="shared" si="1"/>
        <v>12.82</v>
      </c>
      <c r="D52" s="77"/>
      <c r="E52" s="78"/>
      <c r="F52" s="77"/>
      <c r="G52" s="78"/>
      <c r="H52" s="77"/>
      <c r="I52" s="78"/>
      <c r="J52" s="77"/>
      <c r="K52" s="78"/>
      <c r="L52" s="75">
        <v>1.1000000000000001</v>
      </c>
      <c r="M52" s="76">
        <v>2.1</v>
      </c>
      <c r="N52" s="77"/>
      <c r="O52" s="78"/>
      <c r="P52" s="77"/>
      <c r="Q52" s="78"/>
      <c r="R52" s="77"/>
      <c r="S52" s="78"/>
      <c r="T52" s="77"/>
      <c r="U52" s="78"/>
      <c r="V52" s="77"/>
      <c r="W52" s="78"/>
      <c r="X52" s="77"/>
      <c r="Y52" s="78"/>
      <c r="Z52" s="77"/>
      <c r="AA52" s="78"/>
    </row>
    <row r="53" spans="1:27">
      <c r="A53" s="8" t="s">
        <v>75</v>
      </c>
      <c r="B53" s="6">
        <v>2.2000000000000002</v>
      </c>
      <c r="C53" s="4">
        <f t="shared" si="1"/>
        <v>7.48</v>
      </c>
      <c r="D53" s="77"/>
      <c r="E53" s="78"/>
      <c r="F53" s="77"/>
      <c r="G53" s="78"/>
      <c r="H53" s="77"/>
      <c r="I53" s="78"/>
      <c r="J53" s="77"/>
      <c r="K53" s="78"/>
      <c r="L53" s="77"/>
      <c r="M53" s="78"/>
      <c r="N53" s="77"/>
      <c r="O53" s="78"/>
      <c r="P53" s="77"/>
      <c r="Q53" s="78"/>
      <c r="R53" s="77"/>
      <c r="S53" s="78"/>
      <c r="T53" s="77"/>
      <c r="U53" s="78"/>
      <c r="V53" s="77"/>
      <c r="W53" s="78"/>
      <c r="X53" s="77"/>
      <c r="Y53" s="78"/>
      <c r="Z53" s="77"/>
      <c r="AA53" s="78"/>
    </row>
    <row r="54" spans="1:27">
      <c r="A54" s="8" t="s">
        <v>76</v>
      </c>
      <c r="B54" s="6">
        <v>10.82</v>
      </c>
      <c r="C54" s="4">
        <f t="shared" si="1"/>
        <v>33.427999999999997</v>
      </c>
      <c r="D54" s="77"/>
      <c r="E54" s="78"/>
      <c r="F54" s="77"/>
      <c r="G54" s="78"/>
      <c r="H54" s="77"/>
      <c r="I54" s="78"/>
      <c r="J54" s="77"/>
      <c r="K54" s="78"/>
      <c r="L54" s="75">
        <v>0.8</v>
      </c>
      <c r="M54" s="76">
        <v>2.1</v>
      </c>
      <c r="N54" s="75">
        <v>0.8</v>
      </c>
      <c r="O54" s="76">
        <v>2.1</v>
      </c>
      <c r="P54" s="77"/>
      <c r="Q54" s="78"/>
      <c r="R54" s="77"/>
      <c r="S54" s="78"/>
      <c r="T54" s="77"/>
      <c r="U54" s="78"/>
      <c r="V54" s="77"/>
      <c r="W54" s="78"/>
      <c r="X54" s="77"/>
      <c r="Y54" s="78"/>
      <c r="Z54" s="77"/>
      <c r="AA54" s="78"/>
    </row>
    <row r="55" spans="1:27">
      <c r="A55" s="8" t="s">
        <v>77</v>
      </c>
      <c r="B55" s="6">
        <v>9.1999999999999993</v>
      </c>
      <c r="C55" s="4">
        <f t="shared" si="1"/>
        <v>28.97</v>
      </c>
      <c r="D55" s="77"/>
      <c r="E55" s="78"/>
      <c r="F55" s="77"/>
      <c r="G55" s="78"/>
      <c r="H55" s="77"/>
      <c r="I55" s="78"/>
      <c r="J55" s="77"/>
      <c r="K55" s="78"/>
      <c r="L55" s="75">
        <v>1.1000000000000001</v>
      </c>
      <c r="M55" s="76">
        <v>2.1</v>
      </c>
      <c r="N55" s="77"/>
      <c r="O55" s="78"/>
      <c r="P55" s="77"/>
      <c r="Q55" s="78"/>
      <c r="R55" s="77"/>
      <c r="S55" s="78"/>
      <c r="T55" s="77"/>
      <c r="U55" s="78"/>
      <c r="V55" s="77"/>
      <c r="W55" s="78"/>
      <c r="X55" s="77"/>
      <c r="Y55" s="78"/>
      <c r="Z55" s="77"/>
      <c r="AA55" s="78"/>
    </row>
    <row r="56" spans="1:27">
      <c r="A56" s="8" t="s">
        <v>79</v>
      </c>
      <c r="B56" s="6">
        <v>3.1</v>
      </c>
      <c r="C56" s="4">
        <f t="shared" si="1"/>
        <v>10.54</v>
      </c>
      <c r="D56" s="77"/>
      <c r="E56" s="78"/>
      <c r="F56" s="77"/>
      <c r="G56" s="78"/>
      <c r="H56" s="77"/>
      <c r="I56" s="78"/>
      <c r="J56" s="77"/>
      <c r="K56" s="78"/>
      <c r="L56" s="77"/>
      <c r="M56" s="78"/>
      <c r="N56" s="77"/>
      <c r="O56" s="78"/>
      <c r="P56" s="77"/>
      <c r="Q56" s="78"/>
      <c r="R56" s="77"/>
      <c r="S56" s="78"/>
      <c r="T56" s="77"/>
      <c r="U56" s="78"/>
      <c r="V56" s="77"/>
      <c r="W56" s="78"/>
      <c r="X56" s="77"/>
      <c r="Y56" s="78"/>
      <c r="Z56" s="77"/>
      <c r="AA56" s="78"/>
    </row>
    <row r="57" spans="1:27">
      <c r="A57" s="8" t="s">
        <v>80</v>
      </c>
      <c r="B57" s="6">
        <f>1.6+4.42</f>
        <v>6.02</v>
      </c>
      <c r="C57" s="4">
        <f t="shared" si="1"/>
        <v>20.467999999999996</v>
      </c>
      <c r="D57" s="77"/>
      <c r="E57" s="78"/>
      <c r="F57" s="77"/>
      <c r="G57" s="78"/>
      <c r="H57" s="77"/>
      <c r="I57" s="78"/>
      <c r="J57" s="77"/>
      <c r="K57" s="78"/>
      <c r="L57" s="77"/>
      <c r="M57" s="78"/>
      <c r="N57" s="77"/>
      <c r="O57" s="78"/>
      <c r="P57" s="77"/>
      <c r="Q57" s="78"/>
      <c r="R57" s="77"/>
      <c r="S57" s="78"/>
      <c r="T57" s="77"/>
      <c r="U57" s="78"/>
      <c r="V57" s="77"/>
      <c r="W57" s="78"/>
      <c r="X57" s="77"/>
      <c r="Y57" s="78"/>
      <c r="Z57" s="77"/>
      <c r="AA57" s="78"/>
    </row>
    <row r="58" spans="1:27">
      <c r="A58" s="8" t="s">
        <v>81</v>
      </c>
      <c r="B58" s="6">
        <v>5.95</v>
      </c>
      <c r="C58" s="4">
        <f t="shared" si="1"/>
        <v>15.82</v>
      </c>
      <c r="D58" s="77"/>
      <c r="E58" s="78"/>
      <c r="F58" s="77"/>
      <c r="G58" s="78"/>
      <c r="H58" s="77"/>
      <c r="I58" s="78"/>
      <c r="J58" s="77"/>
      <c r="K58" s="78"/>
      <c r="L58" s="75">
        <v>2.1</v>
      </c>
      <c r="M58" s="76">
        <v>2.1</v>
      </c>
      <c r="N58" s="77"/>
      <c r="O58" s="78"/>
      <c r="P58" s="77"/>
      <c r="Q58" s="78"/>
      <c r="R58" s="77"/>
      <c r="S58" s="78"/>
      <c r="T58" s="77"/>
      <c r="U58" s="78"/>
      <c r="V58" s="77"/>
      <c r="W58" s="78"/>
      <c r="X58" s="77"/>
      <c r="Y58" s="78"/>
      <c r="Z58" s="77"/>
      <c r="AA58" s="78"/>
    </row>
    <row r="59" spans="1:27">
      <c r="A59" s="8" t="s">
        <v>82</v>
      </c>
      <c r="B59" s="6">
        <v>6.17</v>
      </c>
      <c r="C59" s="4">
        <f t="shared" si="1"/>
        <v>19.087999999999997</v>
      </c>
      <c r="D59" s="77"/>
      <c r="E59" s="78"/>
      <c r="F59" s="77"/>
      <c r="G59" s="78"/>
      <c r="H59" s="77"/>
      <c r="I59" s="78"/>
      <c r="J59" s="77"/>
      <c r="K59" s="78"/>
      <c r="L59" s="75">
        <v>0.9</v>
      </c>
      <c r="M59" s="76">
        <v>2.1</v>
      </c>
      <c r="N59" s="77"/>
      <c r="O59" s="78"/>
      <c r="P59" s="77"/>
      <c r="Q59" s="78"/>
      <c r="R59" s="77"/>
      <c r="S59" s="78"/>
      <c r="T59" s="77"/>
      <c r="U59" s="78"/>
      <c r="V59" s="77"/>
      <c r="W59" s="78"/>
      <c r="X59" s="77"/>
      <c r="Y59" s="78"/>
      <c r="Z59" s="77"/>
      <c r="AA59" s="78"/>
    </row>
    <row r="60" spans="1:27">
      <c r="A60" s="45" t="s">
        <v>170</v>
      </c>
      <c r="B60" s="6">
        <v>4.9000000000000004</v>
      </c>
      <c r="C60" s="4">
        <f t="shared" si="1"/>
        <v>16.66</v>
      </c>
      <c r="D60" s="77"/>
      <c r="E60" s="78"/>
      <c r="F60" s="77"/>
      <c r="G60" s="78"/>
      <c r="H60" s="77"/>
      <c r="I60" s="78"/>
      <c r="J60" s="77"/>
      <c r="K60" s="78"/>
      <c r="L60" s="77"/>
      <c r="M60" s="78"/>
      <c r="N60" s="77"/>
      <c r="O60" s="78"/>
      <c r="P60" s="77"/>
      <c r="Q60" s="78"/>
      <c r="R60" s="77"/>
      <c r="S60" s="78"/>
      <c r="T60" s="77"/>
      <c r="U60" s="78"/>
      <c r="V60" s="77"/>
      <c r="W60" s="78"/>
      <c r="X60" s="77"/>
      <c r="Y60" s="78"/>
      <c r="Z60" s="77"/>
      <c r="AA60" s="78"/>
    </row>
    <row r="61" spans="1:27">
      <c r="A61" s="45" t="s">
        <v>171</v>
      </c>
      <c r="B61" s="6">
        <v>12.7</v>
      </c>
      <c r="C61" s="4">
        <f t="shared" si="1"/>
        <v>43.18</v>
      </c>
      <c r="D61" s="77"/>
      <c r="E61" s="78"/>
      <c r="F61" s="77"/>
      <c r="G61" s="78"/>
      <c r="H61" s="77"/>
      <c r="I61" s="78"/>
      <c r="J61" s="77"/>
      <c r="K61" s="78"/>
      <c r="L61" s="77"/>
      <c r="M61" s="78"/>
      <c r="N61" s="77"/>
      <c r="O61" s="78"/>
      <c r="P61" s="77"/>
      <c r="Q61" s="78"/>
      <c r="R61" s="77"/>
      <c r="S61" s="78"/>
      <c r="T61" s="77"/>
      <c r="U61" s="78"/>
      <c r="V61" s="77"/>
      <c r="W61" s="78"/>
      <c r="X61" s="77"/>
      <c r="Y61" s="78"/>
      <c r="Z61" s="77"/>
      <c r="AA61" s="78"/>
    </row>
    <row r="62" spans="1:27">
      <c r="A62" s="45" t="s">
        <v>172</v>
      </c>
      <c r="B62" s="6">
        <v>4.9000000000000004</v>
      </c>
      <c r="C62" s="4">
        <f t="shared" si="1"/>
        <v>16.66</v>
      </c>
      <c r="D62" s="77"/>
      <c r="E62" s="78"/>
      <c r="F62" s="77"/>
      <c r="G62" s="78"/>
      <c r="H62" s="77"/>
      <c r="I62" s="78"/>
      <c r="J62" s="77"/>
      <c r="K62" s="78"/>
      <c r="L62" s="77"/>
      <c r="M62" s="78"/>
      <c r="N62" s="77"/>
      <c r="O62" s="78"/>
      <c r="P62" s="77"/>
      <c r="Q62" s="78"/>
      <c r="R62" s="77"/>
      <c r="S62" s="78"/>
      <c r="T62" s="77"/>
      <c r="U62" s="78"/>
      <c r="V62" s="77"/>
      <c r="W62" s="78"/>
      <c r="X62" s="77"/>
      <c r="Y62" s="78"/>
      <c r="Z62" s="77"/>
      <c r="AA62" s="78"/>
    </row>
    <row r="63" spans="1:27">
      <c r="A63" s="45" t="s">
        <v>173</v>
      </c>
      <c r="B63" s="6">
        <v>2.35</v>
      </c>
      <c r="C63" s="4">
        <f t="shared" si="1"/>
        <v>7.99</v>
      </c>
      <c r="D63" s="77"/>
      <c r="E63" s="78"/>
      <c r="F63" s="77"/>
      <c r="G63" s="78"/>
      <c r="H63" s="77"/>
      <c r="I63" s="78"/>
      <c r="J63" s="77"/>
      <c r="K63" s="78"/>
      <c r="L63" s="77"/>
      <c r="M63" s="78"/>
      <c r="N63" s="77"/>
      <c r="O63" s="78"/>
      <c r="P63" s="77"/>
      <c r="Q63" s="78"/>
      <c r="R63" s="77"/>
      <c r="S63" s="78"/>
      <c r="T63" s="77"/>
      <c r="U63" s="78"/>
      <c r="V63" s="77"/>
      <c r="W63" s="78"/>
      <c r="X63" s="77"/>
      <c r="Y63" s="78"/>
      <c r="Z63" s="77"/>
      <c r="AA63" s="78"/>
    </row>
    <row r="64" spans="1:27">
      <c r="A64" s="45" t="s">
        <v>174</v>
      </c>
      <c r="B64" s="6">
        <v>2.4</v>
      </c>
      <c r="C64" s="4">
        <f t="shared" si="1"/>
        <v>8.16</v>
      </c>
      <c r="D64" s="77"/>
      <c r="E64" s="78"/>
      <c r="F64" s="77"/>
      <c r="G64" s="78"/>
      <c r="H64" s="77"/>
      <c r="I64" s="78"/>
      <c r="J64" s="77"/>
      <c r="K64" s="78"/>
      <c r="L64" s="77"/>
      <c r="M64" s="78"/>
      <c r="N64" s="77"/>
      <c r="O64" s="78"/>
      <c r="P64" s="77"/>
      <c r="Q64" s="78"/>
      <c r="R64" s="77"/>
      <c r="S64" s="78"/>
      <c r="T64" s="77"/>
      <c r="U64" s="78"/>
      <c r="V64" s="77"/>
      <c r="W64" s="78"/>
      <c r="X64" s="77"/>
      <c r="Y64" s="78"/>
      <c r="Z64" s="77"/>
      <c r="AA64" s="78"/>
    </row>
    <row r="65" spans="1:27">
      <c r="A65" s="45" t="s">
        <v>175</v>
      </c>
      <c r="B65" s="6">
        <v>1.8</v>
      </c>
      <c r="C65" s="4">
        <f t="shared" si="1"/>
        <v>4.2300000000000004</v>
      </c>
      <c r="D65" s="77"/>
      <c r="E65" s="78"/>
      <c r="F65" s="77"/>
      <c r="G65" s="78"/>
      <c r="H65" s="77"/>
      <c r="I65" s="78"/>
      <c r="J65" s="77"/>
      <c r="K65" s="78"/>
      <c r="L65" s="75">
        <v>0.9</v>
      </c>
      <c r="M65" s="76">
        <v>2.1</v>
      </c>
      <c r="N65" s="77"/>
      <c r="O65" s="78"/>
      <c r="P65" s="77"/>
      <c r="Q65" s="78"/>
      <c r="R65" s="77"/>
      <c r="S65" s="78"/>
      <c r="T65" s="77"/>
      <c r="U65" s="78"/>
      <c r="V65" s="77"/>
      <c r="W65" s="78"/>
      <c r="X65" s="77"/>
      <c r="Y65" s="78"/>
      <c r="Z65" s="77"/>
      <c r="AA65" s="78"/>
    </row>
    <row r="66" spans="1:27">
      <c r="A66" s="45" t="s">
        <v>176</v>
      </c>
      <c r="B66" s="6">
        <v>3.82</v>
      </c>
      <c r="C66" s="4">
        <f t="shared" si="1"/>
        <v>12.988</v>
      </c>
      <c r="D66" s="77"/>
      <c r="E66" s="78"/>
      <c r="F66" s="77"/>
      <c r="G66" s="78"/>
      <c r="H66" s="77"/>
      <c r="I66" s="78"/>
      <c r="J66" s="77"/>
      <c r="K66" s="78"/>
      <c r="L66" s="77"/>
      <c r="M66" s="78"/>
      <c r="N66" s="77"/>
      <c r="O66" s="78"/>
      <c r="P66" s="77"/>
      <c r="Q66" s="78"/>
      <c r="R66" s="77"/>
      <c r="S66" s="78"/>
      <c r="T66" s="77"/>
      <c r="U66" s="78"/>
      <c r="V66" s="77"/>
      <c r="W66" s="78"/>
      <c r="X66" s="77"/>
      <c r="Y66" s="78"/>
      <c r="Z66" s="77"/>
      <c r="AA66" s="78"/>
    </row>
    <row r="67" spans="1:27">
      <c r="A67" s="45" t="s">
        <v>177</v>
      </c>
      <c r="B67" s="6">
        <v>2.2000000000000002</v>
      </c>
      <c r="C67" s="4">
        <f t="shared" si="1"/>
        <v>7.48</v>
      </c>
      <c r="D67" s="77"/>
      <c r="E67" s="78"/>
      <c r="F67" s="77"/>
      <c r="G67" s="78"/>
      <c r="H67" s="77"/>
      <c r="I67" s="78"/>
      <c r="J67" s="77"/>
      <c r="K67" s="78"/>
      <c r="L67" s="77"/>
      <c r="M67" s="78"/>
      <c r="N67" s="77"/>
      <c r="O67" s="78"/>
      <c r="P67" s="77"/>
      <c r="Q67" s="78"/>
      <c r="R67" s="77"/>
      <c r="S67" s="78"/>
      <c r="T67" s="77"/>
      <c r="U67" s="78"/>
      <c r="V67" s="77"/>
      <c r="W67" s="78"/>
      <c r="X67" s="77"/>
      <c r="Y67" s="78"/>
      <c r="Z67" s="77"/>
      <c r="AA67" s="78"/>
    </row>
    <row r="68" spans="1:27">
      <c r="A68" s="45" t="s">
        <v>178</v>
      </c>
      <c r="B68" s="6">
        <v>3.42</v>
      </c>
      <c r="C68" s="4">
        <f t="shared" si="1"/>
        <v>11.628</v>
      </c>
      <c r="D68" s="77"/>
      <c r="E68" s="78"/>
      <c r="F68" s="77"/>
      <c r="G68" s="78"/>
      <c r="H68" s="77"/>
      <c r="I68" s="78"/>
      <c r="J68" s="77"/>
      <c r="K68" s="78"/>
      <c r="L68" s="77"/>
      <c r="M68" s="78"/>
      <c r="N68" s="77"/>
      <c r="O68" s="78"/>
      <c r="P68" s="77"/>
      <c r="Q68" s="78"/>
      <c r="R68" s="77"/>
      <c r="S68" s="78"/>
      <c r="T68" s="77"/>
      <c r="U68" s="78"/>
      <c r="V68" s="77"/>
      <c r="W68" s="78"/>
      <c r="X68" s="77"/>
      <c r="Y68" s="78"/>
      <c r="Z68" s="77"/>
      <c r="AA68" s="78"/>
    </row>
    <row r="69" spans="1:27">
      <c r="A69" s="45" t="s">
        <v>179</v>
      </c>
      <c r="B69" s="6">
        <v>1.8</v>
      </c>
      <c r="C69" s="4">
        <f t="shared" si="1"/>
        <v>4.2300000000000004</v>
      </c>
      <c r="D69" s="77"/>
      <c r="E69" s="78"/>
      <c r="F69" s="77"/>
      <c r="G69" s="78"/>
      <c r="H69" s="77"/>
      <c r="I69" s="78"/>
      <c r="J69" s="77"/>
      <c r="K69" s="78"/>
      <c r="L69" s="75">
        <v>0.9</v>
      </c>
      <c r="M69" s="76">
        <v>2.1</v>
      </c>
      <c r="N69" s="77"/>
      <c r="O69" s="78"/>
      <c r="P69" s="77"/>
      <c r="Q69" s="78"/>
      <c r="R69" s="77"/>
      <c r="S69" s="78"/>
      <c r="T69" s="77"/>
      <c r="U69" s="78"/>
      <c r="V69" s="77"/>
      <c r="W69" s="78"/>
      <c r="X69" s="77"/>
      <c r="Y69" s="78"/>
      <c r="Z69" s="77"/>
      <c r="AA69" s="78"/>
    </row>
    <row r="70" spans="1:27">
      <c r="A70" s="45" t="s">
        <v>180</v>
      </c>
      <c r="B70" s="6">
        <v>3.82</v>
      </c>
      <c r="C70" s="4">
        <f t="shared" si="1"/>
        <v>11.308</v>
      </c>
      <c r="D70" s="77"/>
      <c r="E70" s="78"/>
      <c r="F70" s="77"/>
      <c r="G70" s="78"/>
      <c r="H70" s="77"/>
      <c r="I70" s="78"/>
      <c r="J70" s="77"/>
      <c r="K70" s="78"/>
      <c r="L70" s="75">
        <v>0.8</v>
      </c>
      <c r="M70" s="76">
        <v>2.1</v>
      </c>
      <c r="N70" s="77"/>
      <c r="O70" s="78"/>
      <c r="P70" s="77"/>
      <c r="Q70" s="78"/>
      <c r="R70" s="77"/>
      <c r="S70" s="78"/>
      <c r="T70" s="77"/>
      <c r="U70" s="78"/>
      <c r="V70" s="77"/>
      <c r="W70" s="78"/>
      <c r="X70" s="77"/>
      <c r="Y70" s="78"/>
      <c r="Z70" s="77"/>
      <c r="AA70" s="78"/>
    </row>
    <row r="71" spans="1:27">
      <c r="A71" s="45" t="s">
        <v>182</v>
      </c>
      <c r="B71" s="6">
        <v>1.8</v>
      </c>
      <c r="C71" s="4">
        <f t="shared" si="1"/>
        <v>6.12</v>
      </c>
      <c r="D71" s="77"/>
      <c r="E71" s="78"/>
      <c r="F71" s="77"/>
      <c r="G71" s="78"/>
      <c r="H71" s="77"/>
      <c r="I71" s="78"/>
      <c r="J71" s="77"/>
      <c r="K71" s="78"/>
      <c r="L71" s="77"/>
      <c r="M71" s="78"/>
      <c r="N71" s="77"/>
      <c r="O71" s="78"/>
      <c r="P71" s="77"/>
      <c r="Q71" s="78"/>
      <c r="R71" s="77"/>
      <c r="S71" s="78"/>
      <c r="T71" s="77"/>
      <c r="U71" s="78"/>
      <c r="V71" s="77"/>
      <c r="W71" s="78"/>
      <c r="X71" s="77"/>
      <c r="Y71" s="78"/>
      <c r="Z71" s="77"/>
      <c r="AA71" s="78"/>
    </row>
    <row r="72" spans="1:27">
      <c r="A72" s="45" t="s">
        <v>183</v>
      </c>
      <c r="B72" s="6">
        <v>2.2000000000000002</v>
      </c>
      <c r="C72" s="4">
        <f t="shared" si="1"/>
        <v>7.48</v>
      </c>
      <c r="D72" s="77"/>
      <c r="E72" s="78"/>
      <c r="F72" s="77"/>
      <c r="G72" s="78"/>
      <c r="H72" s="77"/>
      <c r="I72" s="78"/>
      <c r="J72" s="77"/>
      <c r="K72" s="78"/>
      <c r="L72" s="77"/>
      <c r="M72" s="78"/>
      <c r="N72" s="77"/>
      <c r="O72" s="78"/>
      <c r="P72" s="77"/>
      <c r="Q72" s="78"/>
      <c r="R72" s="77"/>
      <c r="S72" s="78"/>
      <c r="T72" s="77"/>
      <c r="U72" s="78"/>
      <c r="V72" s="77"/>
      <c r="W72" s="78"/>
      <c r="X72" s="77"/>
      <c r="Y72" s="78"/>
      <c r="Z72" s="77"/>
      <c r="AA72" s="78"/>
    </row>
    <row r="73" spans="1:27">
      <c r="A73" s="45" t="s">
        <v>184</v>
      </c>
      <c r="B73" s="6">
        <v>1.45</v>
      </c>
      <c r="C73" s="4">
        <f t="shared" si="1"/>
        <v>4.93</v>
      </c>
      <c r="D73" s="77"/>
      <c r="E73" s="78"/>
      <c r="F73" s="77"/>
      <c r="G73" s="78"/>
      <c r="H73" s="77"/>
      <c r="I73" s="78"/>
      <c r="J73" s="77"/>
      <c r="K73" s="78"/>
      <c r="L73" s="77"/>
      <c r="M73" s="78"/>
      <c r="N73" s="77"/>
      <c r="O73" s="78"/>
      <c r="P73" s="77"/>
      <c r="Q73" s="78"/>
      <c r="R73" s="77"/>
      <c r="S73" s="78"/>
      <c r="T73" s="77"/>
      <c r="U73" s="78"/>
      <c r="V73" s="77"/>
      <c r="W73" s="78"/>
      <c r="X73" s="77"/>
      <c r="Y73" s="78"/>
      <c r="Z73" s="77"/>
      <c r="AA73" s="78"/>
    </row>
    <row r="74" spans="1:27">
      <c r="A74" s="45" t="s">
        <v>185</v>
      </c>
      <c r="B74" s="6">
        <v>1.8</v>
      </c>
      <c r="C74" s="4">
        <f t="shared" si="1"/>
        <v>6.12</v>
      </c>
      <c r="D74" s="77"/>
      <c r="E74" s="78"/>
      <c r="F74" s="77"/>
      <c r="G74" s="78"/>
      <c r="H74" s="77"/>
      <c r="I74" s="78"/>
      <c r="J74" s="77"/>
      <c r="K74" s="78"/>
      <c r="L74" s="77"/>
      <c r="M74" s="78"/>
      <c r="N74" s="77"/>
      <c r="O74" s="78"/>
      <c r="P74" s="77"/>
      <c r="Q74" s="78"/>
      <c r="R74" s="77"/>
      <c r="S74" s="78"/>
      <c r="T74" s="77"/>
      <c r="U74" s="78"/>
      <c r="V74" s="77"/>
      <c r="W74" s="78"/>
      <c r="X74" s="77"/>
      <c r="Y74" s="78"/>
      <c r="Z74" s="77"/>
      <c r="AA74" s="78"/>
    </row>
    <row r="75" spans="1:27">
      <c r="A75" s="45" t="s">
        <v>186</v>
      </c>
      <c r="B75" s="6">
        <v>1.89</v>
      </c>
      <c r="C75" s="4">
        <f t="shared" si="1"/>
        <v>4.7459999999999987</v>
      </c>
      <c r="D75" s="77"/>
      <c r="E75" s="78"/>
      <c r="F75" s="77"/>
      <c r="G75" s="78"/>
      <c r="H75" s="77"/>
      <c r="I75" s="78"/>
      <c r="J75" s="77"/>
      <c r="K75" s="78"/>
      <c r="L75" s="75">
        <v>0.8</v>
      </c>
      <c r="M75" s="76">
        <v>2.1</v>
      </c>
      <c r="N75" s="77"/>
      <c r="O75" s="78"/>
      <c r="P75" s="77"/>
      <c r="Q75" s="78"/>
      <c r="R75" s="77"/>
      <c r="S75" s="78"/>
      <c r="T75" s="77"/>
      <c r="U75" s="78"/>
      <c r="V75" s="77"/>
      <c r="W75" s="78"/>
      <c r="X75" s="77"/>
      <c r="Y75" s="78"/>
      <c r="Z75" s="77"/>
      <c r="AA75" s="78"/>
    </row>
    <row r="76" spans="1:27">
      <c r="A76" s="45" t="s">
        <v>188</v>
      </c>
      <c r="B76" s="6">
        <v>1.7</v>
      </c>
      <c r="C76" s="4">
        <f t="shared" si="1"/>
        <v>5.7799999999999994</v>
      </c>
      <c r="D76" s="77"/>
      <c r="E76" s="78"/>
      <c r="F76" s="77"/>
      <c r="G76" s="78"/>
      <c r="H76" s="77"/>
      <c r="I76" s="78"/>
      <c r="J76" s="77"/>
      <c r="K76" s="78"/>
      <c r="L76" s="77"/>
      <c r="M76" s="78"/>
      <c r="N76" s="77"/>
      <c r="O76" s="78"/>
      <c r="P76" s="77"/>
      <c r="Q76" s="78"/>
      <c r="R76" s="77"/>
      <c r="S76" s="78"/>
      <c r="T76" s="77"/>
      <c r="U76" s="78"/>
      <c r="V76" s="77"/>
      <c r="W76" s="78"/>
      <c r="X76" s="77"/>
      <c r="Y76" s="78"/>
      <c r="Z76" s="77"/>
      <c r="AA76" s="78"/>
    </row>
    <row r="77" spans="1:27">
      <c r="A77" s="45" t="s">
        <v>189</v>
      </c>
      <c r="B77" s="6">
        <f>3.23+3.4</f>
        <v>6.63</v>
      </c>
      <c r="C77" s="4">
        <f t="shared" si="1"/>
        <v>18.971999999999998</v>
      </c>
      <c r="D77" s="75">
        <v>1.05</v>
      </c>
      <c r="E77" s="76">
        <v>1.8</v>
      </c>
      <c r="F77" s="77"/>
      <c r="G77" s="78"/>
      <c r="H77" s="77"/>
      <c r="I77" s="78"/>
      <c r="J77" s="77"/>
      <c r="K77" s="78"/>
      <c r="L77" s="75">
        <v>0.8</v>
      </c>
      <c r="M77" s="76">
        <v>2.1</v>
      </c>
      <c r="N77" s="77"/>
      <c r="O77" s="78"/>
      <c r="P77" s="77"/>
      <c r="Q77" s="78"/>
      <c r="R77" s="77"/>
      <c r="S77" s="78"/>
      <c r="T77" s="77"/>
      <c r="U77" s="78"/>
      <c r="V77" s="77"/>
      <c r="W77" s="78"/>
      <c r="X77" s="77"/>
      <c r="Y77" s="78"/>
      <c r="Z77" s="77"/>
      <c r="AA77" s="78"/>
    </row>
    <row r="78" spans="1:27">
      <c r="A78" s="45" t="s">
        <v>190</v>
      </c>
      <c r="B78" s="6">
        <v>1.44</v>
      </c>
      <c r="C78" s="4">
        <f t="shared" si="1"/>
        <v>4.8959999999999999</v>
      </c>
      <c r="D78" s="77"/>
      <c r="E78" s="78"/>
      <c r="F78" s="77"/>
      <c r="G78" s="78"/>
      <c r="H78" s="77"/>
      <c r="I78" s="78"/>
      <c r="J78" s="77"/>
      <c r="K78" s="78"/>
      <c r="L78" s="77"/>
      <c r="M78" s="78"/>
      <c r="N78" s="77"/>
      <c r="O78" s="78"/>
      <c r="P78" s="77"/>
      <c r="Q78" s="78"/>
      <c r="R78" s="77"/>
      <c r="S78" s="78"/>
      <c r="T78" s="77"/>
      <c r="U78" s="78"/>
      <c r="V78" s="77"/>
      <c r="W78" s="78"/>
      <c r="X78" s="77"/>
      <c r="Y78" s="78"/>
      <c r="Z78" s="77"/>
      <c r="AA78" s="78"/>
    </row>
    <row r="79" spans="1:27">
      <c r="A79" s="46" t="s">
        <v>193</v>
      </c>
      <c r="B79" s="6">
        <v>2.2000000000000002</v>
      </c>
      <c r="C79" s="4">
        <f t="shared" si="1"/>
        <v>3.0700000000000003</v>
      </c>
      <c r="D79" s="77"/>
      <c r="E79" s="78"/>
      <c r="F79" s="77"/>
      <c r="G79" s="78"/>
      <c r="H79" s="77"/>
      <c r="I79" s="78"/>
      <c r="J79" s="77"/>
      <c r="K79" s="78"/>
      <c r="L79" s="75">
        <v>2.1</v>
      </c>
      <c r="M79" s="76">
        <v>2.1</v>
      </c>
      <c r="N79" s="77"/>
      <c r="O79" s="78"/>
      <c r="P79" s="77"/>
      <c r="Q79" s="78"/>
      <c r="R79" s="77"/>
      <c r="S79" s="78"/>
      <c r="T79" s="77"/>
      <c r="U79" s="78"/>
      <c r="V79" s="77"/>
      <c r="W79" s="78"/>
      <c r="X79" s="77"/>
      <c r="Y79" s="78"/>
      <c r="Z79" s="77"/>
      <c r="AA79" s="78"/>
    </row>
    <row r="80" spans="1:27">
      <c r="A80" s="46" t="s">
        <v>194</v>
      </c>
      <c r="B80" s="6">
        <v>3.18</v>
      </c>
      <c r="C80" s="4">
        <f t="shared" si="1"/>
        <v>10.811999999999999</v>
      </c>
      <c r="D80" s="77"/>
      <c r="E80" s="78"/>
      <c r="F80" s="77"/>
      <c r="G80" s="78"/>
      <c r="H80" s="77"/>
      <c r="I80" s="78"/>
      <c r="J80" s="77"/>
      <c r="K80" s="78"/>
      <c r="L80" s="77"/>
      <c r="M80" s="78"/>
      <c r="N80" s="77"/>
      <c r="O80" s="78"/>
      <c r="P80" s="77"/>
      <c r="Q80" s="78"/>
      <c r="R80" s="77"/>
      <c r="S80" s="78"/>
      <c r="T80" s="77"/>
      <c r="U80" s="78"/>
      <c r="V80" s="77"/>
      <c r="W80" s="78"/>
      <c r="X80" s="77"/>
      <c r="Y80" s="78"/>
      <c r="Z80" s="77"/>
      <c r="AA80" s="78"/>
    </row>
    <row r="82" spans="1:27">
      <c r="A82" s="46" t="s">
        <v>195</v>
      </c>
      <c r="B82" s="6">
        <f>5.3+5</f>
        <v>10.3</v>
      </c>
      <c r="C82" s="4">
        <f>(B82*0.5)-((D82*E82)+(F82*G82)+(H82*I82)+(J82*K82)+(L82*M82)+(N82*O82)+(P82*Q82)+(R82*S82)+(T82*U82)+(V82*W82)+(X82*Y82)+(Z82*AA82))</f>
        <v>5.15</v>
      </c>
      <c r="D82" s="77"/>
      <c r="E82" s="78"/>
      <c r="F82" s="77"/>
      <c r="G82" s="78"/>
      <c r="H82" s="77"/>
      <c r="I82" s="78"/>
      <c r="J82" s="77"/>
      <c r="K82" s="78"/>
      <c r="L82" s="77"/>
      <c r="M82" s="78"/>
      <c r="N82" s="77"/>
      <c r="O82" s="78"/>
      <c r="P82" s="77"/>
      <c r="Q82" s="78"/>
      <c r="R82" s="77"/>
      <c r="S82" s="78"/>
      <c r="T82" s="77"/>
      <c r="U82" s="78"/>
      <c r="V82" s="77"/>
      <c r="W82" s="78"/>
      <c r="X82" s="77"/>
      <c r="Y82" s="78"/>
      <c r="Z82" s="77"/>
      <c r="AA82" s="78"/>
    </row>
    <row r="84" spans="1:27">
      <c r="A84" s="8" t="s">
        <v>83</v>
      </c>
      <c r="B84" s="153">
        <f>SUM(C5:C82)</f>
        <v>1215.6879999999999</v>
      </c>
      <c r="C84" s="154"/>
    </row>
    <row r="85" spans="1:27" hidden="1">
      <c r="A85" s="5" t="s">
        <v>361</v>
      </c>
    </row>
  </sheetData>
  <mergeCells count="15">
    <mergeCell ref="A1:AA1"/>
    <mergeCell ref="V3:W3"/>
    <mergeCell ref="X3:Y3"/>
    <mergeCell ref="Z3:AA3"/>
    <mergeCell ref="B84:C8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headerFooter>
    <oddHeader>&amp;F</oddHeader>
    <oddFooter>&amp;F</oddFooter>
  </headerFooter>
  <rowBreaks count="1" manualBreakCount="1">
    <brk id="54" max="2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Plan20">
    <tabColor rgb="FF00FF00"/>
  </sheetPr>
  <dimension ref="A1:P12"/>
  <sheetViews>
    <sheetView zoomScale="85" zoomScaleNormal="85" workbookViewId="0">
      <selection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392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5" t="s">
        <v>152</v>
      </c>
      <c r="B3" s="6">
        <v>6.6</v>
      </c>
      <c r="C3" s="6">
        <v>12.7</v>
      </c>
      <c r="D3" s="6">
        <f t="shared" ref="D3:D4" si="0">2*(B3+C3)</f>
        <v>38.599999999999994</v>
      </c>
      <c r="E3" s="4">
        <f>B3*C3</f>
        <v>83.82</v>
      </c>
      <c r="I3" s="1"/>
      <c r="J3" s="1"/>
      <c r="K3" s="1"/>
      <c r="L3" s="1"/>
      <c r="M3" s="1"/>
      <c r="N3" s="1"/>
      <c r="O3" s="1"/>
      <c r="P3" s="1"/>
    </row>
    <row r="4" spans="1:16">
      <c r="A4" s="85" t="s">
        <v>150</v>
      </c>
      <c r="B4" s="6">
        <v>7.48</v>
      </c>
      <c r="C4" s="6">
        <v>4.4000000000000004</v>
      </c>
      <c r="D4" s="6">
        <f t="shared" si="0"/>
        <v>23.76</v>
      </c>
      <c r="E4" s="4">
        <f>B4*C4</f>
        <v>32.912000000000006</v>
      </c>
      <c r="I4" s="1"/>
      <c r="J4" s="1"/>
      <c r="M4" s="1"/>
      <c r="N4" s="1"/>
    </row>
    <row r="5" spans="1:16">
      <c r="A5" s="85" t="s">
        <v>139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85" t="s">
        <v>83</v>
      </c>
      <c r="B11" s="155">
        <f>SUM(E3:E5)</f>
        <v>153.80199999999999</v>
      </c>
      <c r="C11" s="156"/>
    </row>
    <row r="12" spans="1:16" hidden="1">
      <c r="A12" s="5" t="s">
        <v>393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Plan21">
    <tabColor rgb="FF00FF00"/>
  </sheetPr>
  <dimension ref="A1:P12"/>
  <sheetViews>
    <sheetView zoomScale="85" zoomScaleNormal="85" workbookViewId="0">
      <selection activeCell="A12" sqref="A12:XFD1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394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5" t="s">
        <v>152</v>
      </c>
      <c r="B3" s="6">
        <v>6.6</v>
      </c>
      <c r="C3" s="6">
        <v>12.7</v>
      </c>
      <c r="D3" s="6">
        <f t="shared" ref="D3:D4" si="0">2*(B3+C3)</f>
        <v>38.599999999999994</v>
      </c>
      <c r="E3" s="4">
        <f>B3*C3</f>
        <v>83.82</v>
      </c>
      <c r="I3" s="1"/>
      <c r="J3" s="1"/>
      <c r="K3" s="1"/>
      <c r="L3" s="1"/>
      <c r="M3" s="1"/>
      <c r="N3" s="1"/>
      <c r="O3" s="1"/>
      <c r="P3" s="1"/>
    </row>
    <row r="4" spans="1:16">
      <c r="A4" s="85" t="s">
        <v>150</v>
      </c>
      <c r="B4" s="6">
        <v>7.48</v>
      </c>
      <c r="C4" s="6">
        <v>4.4000000000000004</v>
      </c>
      <c r="D4" s="6">
        <f t="shared" si="0"/>
        <v>23.76</v>
      </c>
      <c r="E4" s="4">
        <f>B4*C4</f>
        <v>32.912000000000006</v>
      </c>
      <c r="I4" s="1"/>
      <c r="J4" s="1"/>
      <c r="M4" s="1"/>
      <c r="N4" s="1"/>
    </row>
    <row r="5" spans="1:16">
      <c r="A5" s="85" t="s">
        <v>139</v>
      </c>
      <c r="B5" s="9"/>
      <c r="C5" s="9"/>
      <c r="D5" s="6">
        <v>27.06</v>
      </c>
      <c r="E5" s="4">
        <v>37.07</v>
      </c>
      <c r="I5" s="1"/>
      <c r="J5" s="1"/>
      <c r="K5" s="1"/>
      <c r="L5" s="1"/>
      <c r="M5" s="1"/>
      <c r="N5" s="1"/>
      <c r="O5" s="1"/>
      <c r="P5" s="1"/>
    </row>
    <row r="6" spans="1:16" hidden="1"/>
    <row r="7" spans="1:16" hidden="1"/>
    <row r="11" spans="1:16">
      <c r="A11" s="85" t="s">
        <v>83</v>
      </c>
      <c r="B11" s="155">
        <f>SUM(E3:E5)</f>
        <v>153.80199999999999</v>
      </c>
      <c r="C11" s="156"/>
    </row>
    <row r="12" spans="1:16" hidden="1">
      <c r="A12" s="5" t="s">
        <v>395</v>
      </c>
    </row>
  </sheetData>
  <mergeCells count="2">
    <mergeCell ref="B11:C1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Plan22">
    <tabColor rgb="FF00FF00"/>
  </sheetPr>
  <dimension ref="A1:P53"/>
  <sheetViews>
    <sheetView view="pageBreakPreview" zoomScale="60" zoomScaleNormal="85" workbookViewId="0">
      <pane ySplit="2" topLeftCell="A15" activePane="bottomLeft" state="frozenSplit"/>
      <selection pane="bottomLeft" activeCell="A53" sqref="A53:XFD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396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57" t="s">
        <v>111</v>
      </c>
      <c r="B3" s="9"/>
      <c r="C3" s="9"/>
      <c r="D3" s="6">
        <v>32.799999999999997</v>
      </c>
      <c r="E3" s="4">
        <v>51.4</v>
      </c>
      <c r="I3" s="1"/>
      <c r="J3" s="1"/>
      <c r="K3" s="1"/>
      <c r="L3" s="1"/>
      <c r="M3" s="1"/>
      <c r="N3" s="1"/>
      <c r="O3" s="1"/>
      <c r="P3" s="1"/>
    </row>
    <row r="4" spans="1:16">
      <c r="A4" s="57" t="s">
        <v>112</v>
      </c>
      <c r="B4" s="6">
        <v>2</v>
      </c>
      <c r="C4" s="6">
        <v>2</v>
      </c>
      <c r="D4" s="6">
        <f t="shared" ref="D4:D50" si="0">2*(B4+C4)</f>
        <v>8</v>
      </c>
      <c r="E4" s="4">
        <f t="shared" ref="E4:E22" si="1">B4*C4</f>
        <v>4</v>
      </c>
      <c r="I4" s="1"/>
      <c r="J4" s="1"/>
      <c r="M4" s="1"/>
      <c r="N4" s="1"/>
    </row>
    <row r="5" spans="1:16">
      <c r="A5" s="57" t="s">
        <v>5</v>
      </c>
      <c r="B5" s="6">
        <v>2</v>
      </c>
      <c r="C5" s="6">
        <v>1.42</v>
      </c>
      <c r="D5" s="6">
        <f t="shared" si="0"/>
        <v>6.84</v>
      </c>
      <c r="E5" s="4">
        <f t="shared" si="1"/>
        <v>2.84</v>
      </c>
      <c r="I5" s="1"/>
      <c r="J5" s="1"/>
      <c r="K5" s="1"/>
      <c r="L5" s="1"/>
      <c r="M5" s="1"/>
      <c r="N5" s="1"/>
      <c r="O5" s="1"/>
      <c r="P5" s="1"/>
    </row>
    <row r="6" spans="1:16">
      <c r="A6" s="57" t="s">
        <v>113</v>
      </c>
      <c r="B6" s="6">
        <v>2</v>
      </c>
      <c r="C6" s="6">
        <v>1.6</v>
      </c>
      <c r="D6" s="6">
        <f t="shared" si="0"/>
        <v>7.2</v>
      </c>
      <c r="E6" s="4">
        <f t="shared" si="1"/>
        <v>3.2</v>
      </c>
      <c r="I6" s="1"/>
      <c r="J6" s="1"/>
      <c r="K6" s="1"/>
      <c r="L6" s="1"/>
      <c r="M6" s="1"/>
      <c r="N6" s="1"/>
      <c r="O6" s="1"/>
      <c r="P6" s="1"/>
    </row>
    <row r="7" spans="1:16">
      <c r="A7" s="57" t="s">
        <v>114</v>
      </c>
      <c r="B7" s="6">
        <v>2</v>
      </c>
      <c r="C7" s="6">
        <v>2</v>
      </c>
      <c r="D7" s="6">
        <f t="shared" si="0"/>
        <v>8</v>
      </c>
      <c r="E7" s="4">
        <f t="shared" si="1"/>
        <v>4</v>
      </c>
      <c r="I7" s="1"/>
      <c r="J7" s="1"/>
      <c r="K7" s="1"/>
      <c r="L7" s="1"/>
      <c r="M7" s="1"/>
      <c r="N7" s="1"/>
      <c r="O7" s="1"/>
      <c r="P7" s="1"/>
    </row>
    <row r="8" spans="1:16">
      <c r="A8" s="57" t="s">
        <v>141</v>
      </c>
      <c r="B8" s="6">
        <v>7.05</v>
      </c>
      <c r="C8" s="6">
        <v>5.32</v>
      </c>
      <c r="D8" s="6">
        <f t="shared" si="0"/>
        <v>24.740000000000002</v>
      </c>
      <c r="E8" s="4">
        <f t="shared" si="1"/>
        <v>37.506</v>
      </c>
      <c r="I8" s="1"/>
      <c r="J8" s="1"/>
      <c r="K8" s="1"/>
      <c r="L8" s="1"/>
      <c r="M8" s="1"/>
      <c r="N8" s="1"/>
      <c r="O8" s="1"/>
      <c r="P8" s="1"/>
    </row>
    <row r="9" spans="1:16">
      <c r="A9" s="57" t="s">
        <v>142</v>
      </c>
      <c r="B9" s="6">
        <v>4.5</v>
      </c>
      <c r="C9" s="6">
        <v>3.3</v>
      </c>
      <c r="D9" s="6">
        <f t="shared" si="0"/>
        <v>15.6</v>
      </c>
      <c r="E9" s="4">
        <f t="shared" si="1"/>
        <v>14.85</v>
      </c>
      <c r="I9" s="1"/>
      <c r="J9" s="1"/>
      <c r="K9" s="1"/>
      <c r="L9" s="1"/>
      <c r="M9" s="1"/>
      <c r="N9" s="1"/>
      <c r="O9" s="1"/>
      <c r="P9" s="1"/>
    </row>
    <row r="10" spans="1:16">
      <c r="A10" s="57" t="s">
        <v>115</v>
      </c>
      <c r="B10" s="6">
        <v>4.55</v>
      </c>
      <c r="C10" s="6">
        <v>3.3</v>
      </c>
      <c r="D10" s="6">
        <f t="shared" si="0"/>
        <v>15.7</v>
      </c>
      <c r="E10" s="4">
        <f t="shared" si="1"/>
        <v>15.014999999999999</v>
      </c>
      <c r="I10" s="1"/>
      <c r="J10" s="1"/>
      <c r="K10" s="1"/>
      <c r="L10" s="1"/>
      <c r="M10" s="1"/>
      <c r="N10" s="1"/>
      <c r="O10" s="1"/>
      <c r="P10" s="1"/>
    </row>
    <row r="11" spans="1:16">
      <c r="A11" s="57" t="s">
        <v>116</v>
      </c>
      <c r="B11" s="6">
        <v>3.9</v>
      </c>
      <c r="C11" s="6">
        <v>2.95</v>
      </c>
      <c r="D11" s="6">
        <f t="shared" si="0"/>
        <v>13.7</v>
      </c>
      <c r="E11" s="4">
        <f t="shared" si="1"/>
        <v>11.505000000000001</v>
      </c>
      <c r="I11" s="1"/>
      <c r="J11" s="1"/>
      <c r="K11" s="1"/>
      <c r="L11" s="1"/>
      <c r="M11" s="1"/>
      <c r="N11" s="1"/>
      <c r="O11" s="1"/>
      <c r="P11" s="1"/>
    </row>
    <row r="12" spans="1:16">
      <c r="A12" s="57" t="s">
        <v>117</v>
      </c>
      <c r="B12" s="6">
        <v>4</v>
      </c>
      <c r="C12" s="6">
        <v>3.55</v>
      </c>
      <c r="D12" s="6">
        <f t="shared" si="0"/>
        <v>15.1</v>
      </c>
      <c r="E12" s="4">
        <f t="shared" si="1"/>
        <v>14.2</v>
      </c>
      <c r="I12" s="1"/>
      <c r="J12" s="1"/>
      <c r="K12" s="1"/>
      <c r="L12" s="1"/>
      <c r="M12" s="1"/>
      <c r="N12" s="1"/>
      <c r="O12" s="1"/>
      <c r="P12" s="1"/>
    </row>
    <row r="13" spans="1:16">
      <c r="A13" s="57" t="s">
        <v>120</v>
      </c>
      <c r="B13" s="6">
        <v>1.8</v>
      </c>
      <c r="C13" s="6">
        <v>2.95</v>
      </c>
      <c r="D13" s="6">
        <f t="shared" si="0"/>
        <v>9.5</v>
      </c>
      <c r="E13" s="4">
        <f t="shared" si="1"/>
        <v>5.3100000000000005</v>
      </c>
      <c r="I13" s="1"/>
      <c r="J13" s="1"/>
      <c r="K13" s="1"/>
      <c r="L13" s="1"/>
      <c r="M13" s="1"/>
      <c r="N13" s="1"/>
      <c r="O13" s="1"/>
      <c r="P13" s="1"/>
    </row>
    <row r="14" spans="1:16">
      <c r="A14" s="57" t="s">
        <v>121</v>
      </c>
      <c r="B14" s="6">
        <v>2.0499999999999998</v>
      </c>
      <c r="C14" s="6">
        <v>2.95</v>
      </c>
      <c r="D14" s="6">
        <f t="shared" si="0"/>
        <v>10</v>
      </c>
      <c r="E14" s="4">
        <f t="shared" si="1"/>
        <v>6.0474999999999994</v>
      </c>
      <c r="I14" s="1"/>
      <c r="J14" s="1"/>
      <c r="K14" s="1"/>
      <c r="L14" s="1"/>
      <c r="M14" s="1"/>
      <c r="N14" s="1"/>
      <c r="O14" s="1"/>
      <c r="P14" s="1"/>
    </row>
    <row r="15" spans="1:16">
      <c r="A15" s="57" t="s">
        <v>118</v>
      </c>
      <c r="B15" s="6">
        <v>3.35</v>
      </c>
      <c r="C15" s="6">
        <v>2.2349999999999999</v>
      </c>
      <c r="D15" s="6">
        <f t="shared" si="0"/>
        <v>11.17</v>
      </c>
      <c r="E15" s="4">
        <f t="shared" si="1"/>
        <v>7.4872499999999995</v>
      </c>
      <c r="I15" s="1"/>
      <c r="J15" s="1"/>
      <c r="K15" s="1"/>
      <c r="L15" s="1"/>
      <c r="M15" s="1"/>
      <c r="N15" s="1"/>
      <c r="O15" s="1"/>
      <c r="P15" s="1"/>
    </row>
    <row r="16" spans="1:16">
      <c r="A16" s="57" t="s">
        <v>119</v>
      </c>
      <c r="B16" s="6">
        <v>3.35</v>
      </c>
      <c r="C16" s="6">
        <v>2.2349999999999999</v>
      </c>
      <c r="D16" s="6">
        <f t="shared" si="0"/>
        <v>11.17</v>
      </c>
      <c r="E16" s="4">
        <f t="shared" si="1"/>
        <v>7.4872499999999995</v>
      </c>
      <c r="I16" s="1"/>
      <c r="J16" s="1"/>
      <c r="K16" s="1"/>
      <c r="L16" s="1"/>
      <c r="M16" s="1"/>
      <c r="N16" s="1"/>
      <c r="O16" s="1"/>
      <c r="P16" s="1"/>
    </row>
    <row r="17" spans="1:16">
      <c r="A17" s="57" t="s">
        <v>123</v>
      </c>
      <c r="B17" s="6">
        <v>3.35</v>
      </c>
      <c r="C17" s="6">
        <v>2.95</v>
      </c>
      <c r="D17" s="6">
        <f t="shared" si="0"/>
        <v>12.600000000000001</v>
      </c>
      <c r="E17" s="4">
        <f t="shared" si="1"/>
        <v>9.8825000000000003</v>
      </c>
      <c r="I17" s="1"/>
      <c r="J17" s="1"/>
      <c r="K17" s="1"/>
      <c r="L17" s="1"/>
      <c r="M17" s="1"/>
      <c r="N17" s="1"/>
      <c r="O17" s="1"/>
      <c r="P17" s="1"/>
    </row>
    <row r="18" spans="1:16">
      <c r="A18" s="57" t="s">
        <v>124</v>
      </c>
      <c r="B18" s="6">
        <v>5.0999999999999996</v>
      </c>
      <c r="C18" s="6">
        <v>4.0199999999999996</v>
      </c>
      <c r="D18" s="6">
        <f t="shared" si="0"/>
        <v>18.239999999999998</v>
      </c>
      <c r="E18" s="4">
        <f t="shared" si="1"/>
        <v>20.501999999999995</v>
      </c>
      <c r="I18" s="1"/>
      <c r="J18" s="1"/>
      <c r="K18" s="1"/>
      <c r="L18" s="1"/>
      <c r="M18" s="1"/>
      <c r="N18" s="1"/>
      <c r="O18" s="1"/>
      <c r="P18" s="1"/>
    </row>
    <row r="19" spans="1:16">
      <c r="A19" s="57" t="s">
        <v>125</v>
      </c>
      <c r="B19" s="6">
        <v>2.5</v>
      </c>
      <c r="C19" s="6">
        <v>4.42</v>
      </c>
      <c r="D19" s="6">
        <f t="shared" si="0"/>
        <v>13.84</v>
      </c>
      <c r="E19" s="4">
        <f t="shared" si="1"/>
        <v>11.05</v>
      </c>
      <c r="I19" s="1"/>
      <c r="J19" s="1"/>
      <c r="K19" s="1"/>
      <c r="L19" s="1"/>
      <c r="M19" s="1"/>
      <c r="N19" s="1"/>
      <c r="O19" s="1"/>
      <c r="P19" s="1"/>
    </row>
    <row r="20" spans="1:16">
      <c r="A20" s="57" t="s">
        <v>126</v>
      </c>
      <c r="B20" s="6">
        <v>2.5</v>
      </c>
      <c r="C20" s="6">
        <v>1.6</v>
      </c>
      <c r="D20" s="6">
        <f t="shared" si="0"/>
        <v>8.1999999999999993</v>
      </c>
      <c r="E20" s="4">
        <f t="shared" si="1"/>
        <v>4</v>
      </c>
      <c r="I20" s="1"/>
      <c r="J20" s="1"/>
      <c r="K20" s="1"/>
      <c r="L20" s="1"/>
      <c r="M20" s="1"/>
      <c r="N20" s="1"/>
      <c r="O20" s="1"/>
      <c r="P20" s="1"/>
    </row>
    <row r="21" spans="1:16">
      <c r="A21" s="57" t="s">
        <v>127</v>
      </c>
      <c r="B21" s="6">
        <v>2.5499999999999998</v>
      </c>
      <c r="C21" s="6">
        <v>4.42</v>
      </c>
      <c r="D21" s="6">
        <f t="shared" si="0"/>
        <v>13.94</v>
      </c>
      <c r="E21" s="4">
        <f t="shared" si="1"/>
        <v>11.270999999999999</v>
      </c>
      <c r="I21" s="1"/>
      <c r="J21" s="1"/>
      <c r="K21" s="1"/>
      <c r="L21" s="1"/>
      <c r="M21" s="1"/>
      <c r="N21" s="1"/>
      <c r="O21" s="1"/>
      <c r="P21" s="1"/>
    </row>
    <row r="22" spans="1:16">
      <c r="A22" s="57" t="s">
        <v>128</v>
      </c>
      <c r="B22" s="6">
        <v>2.5499999999999998</v>
      </c>
      <c r="C22" s="6">
        <v>1.6</v>
      </c>
      <c r="D22" s="6">
        <f t="shared" si="0"/>
        <v>8.3000000000000007</v>
      </c>
      <c r="E22" s="4">
        <f t="shared" si="1"/>
        <v>4.08</v>
      </c>
      <c r="I22" s="1"/>
      <c r="J22" s="1"/>
      <c r="K22" s="1"/>
      <c r="L22" s="1"/>
      <c r="M22" s="1"/>
      <c r="N22" s="1"/>
      <c r="O22" s="1"/>
      <c r="P22" s="1"/>
    </row>
    <row r="23" spans="1:16">
      <c r="A23" s="57" t="s">
        <v>129</v>
      </c>
      <c r="B23" s="9"/>
      <c r="C23" s="9"/>
      <c r="D23" s="6">
        <v>21.4</v>
      </c>
      <c r="E23" s="4">
        <v>22.9</v>
      </c>
      <c r="I23" s="1"/>
      <c r="J23" s="1"/>
      <c r="K23" s="1"/>
      <c r="L23" s="1"/>
      <c r="M23" s="1"/>
      <c r="N23" s="1"/>
      <c r="O23" s="1"/>
      <c r="P23" s="1"/>
    </row>
    <row r="24" spans="1:16">
      <c r="A24" s="57" t="s">
        <v>130</v>
      </c>
      <c r="B24" s="6">
        <v>2.5499999999999998</v>
      </c>
      <c r="C24" s="6">
        <v>4.9000000000000004</v>
      </c>
      <c r="D24" s="6">
        <f t="shared" ref="D24:D25" si="2">2*(B24+C24)</f>
        <v>14.9</v>
      </c>
      <c r="E24" s="4">
        <f t="shared" ref="E24:E25" si="3">B24*C24</f>
        <v>12.494999999999999</v>
      </c>
      <c r="I24" s="1"/>
      <c r="J24" s="1"/>
      <c r="K24" s="1"/>
      <c r="L24" s="1"/>
      <c r="M24" s="1"/>
      <c r="N24" s="1"/>
      <c r="O24" s="1"/>
      <c r="P24" s="1"/>
    </row>
    <row r="25" spans="1:16">
      <c r="A25" s="57" t="s">
        <v>144</v>
      </c>
      <c r="B25" s="6">
        <v>2.5499999999999998</v>
      </c>
      <c r="C25" s="6">
        <v>4.9000000000000004</v>
      </c>
      <c r="D25" s="6">
        <f t="shared" si="2"/>
        <v>14.9</v>
      </c>
      <c r="E25" s="4">
        <f t="shared" si="3"/>
        <v>12.494999999999999</v>
      </c>
      <c r="I25" s="1"/>
      <c r="J25" s="1"/>
      <c r="K25" s="1"/>
      <c r="L25" s="1"/>
      <c r="M25" s="1"/>
      <c r="N25" s="1"/>
      <c r="O25" s="1"/>
      <c r="P25" s="1"/>
    </row>
    <row r="26" spans="1:16">
      <c r="A26" s="57" t="s">
        <v>131</v>
      </c>
      <c r="B26" s="9"/>
      <c r="C26" s="9"/>
      <c r="D26" s="6">
        <v>14.9</v>
      </c>
      <c r="E26" s="4">
        <v>10.93</v>
      </c>
      <c r="I26" s="1"/>
      <c r="J26" s="1"/>
      <c r="K26" s="1"/>
      <c r="L26" s="1"/>
      <c r="M26" s="1"/>
      <c r="N26" s="1"/>
      <c r="O26" s="1"/>
      <c r="P26" s="1"/>
    </row>
    <row r="27" spans="1:16">
      <c r="A27" s="57" t="s">
        <v>132</v>
      </c>
      <c r="B27" s="6">
        <v>2.2999999999999998</v>
      </c>
      <c r="C27" s="6">
        <v>2.2000000000000002</v>
      </c>
      <c r="D27" s="6">
        <f t="shared" ref="D27:D32" si="4">2*(B27+C27)</f>
        <v>9</v>
      </c>
      <c r="E27" s="4">
        <f t="shared" ref="E27:E32" si="5">B27*C27</f>
        <v>5.0599999999999996</v>
      </c>
      <c r="I27" s="1"/>
      <c r="J27" s="1"/>
      <c r="K27" s="1"/>
      <c r="L27" s="1"/>
      <c r="M27" s="1"/>
      <c r="N27" s="1"/>
      <c r="O27" s="1"/>
      <c r="P27" s="1"/>
    </row>
    <row r="28" spans="1:16">
      <c r="A28" s="57" t="s">
        <v>133</v>
      </c>
      <c r="B28" s="6">
        <v>5.15</v>
      </c>
      <c r="C28" s="6">
        <v>2.2000000000000002</v>
      </c>
      <c r="D28" s="6">
        <f t="shared" si="4"/>
        <v>14.700000000000001</v>
      </c>
      <c r="E28" s="4">
        <f t="shared" si="5"/>
        <v>11.330000000000002</v>
      </c>
      <c r="I28" s="1"/>
      <c r="J28" s="1"/>
      <c r="K28" s="1"/>
      <c r="L28" s="1"/>
      <c r="M28" s="1"/>
      <c r="N28" s="1"/>
      <c r="O28" s="1"/>
      <c r="P28" s="1"/>
    </row>
    <row r="29" spans="1:16">
      <c r="A29" s="57" t="s">
        <v>134</v>
      </c>
      <c r="B29" s="6">
        <v>3.45</v>
      </c>
      <c r="C29" s="6">
        <v>3.82</v>
      </c>
      <c r="D29" s="6">
        <f t="shared" si="4"/>
        <v>14.54</v>
      </c>
      <c r="E29" s="4">
        <f t="shared" si="5"/>
        <v>13.179</v>
      </c>
      <c r="I29" s="1"/>
      <c r="J29" s="1"/>
      <c r="K29" s="1"/>
      <c r="L29" s="1"/>
      <c r="M29" s="1"/>
      <c r="N29" s="1"/>
      <c r="O29" s="1"/>
      <c r="P29" s="1"/>
    </row>
    <row r="30" spans="1:16">
      <c r="A30" s="57" t="s">
        <v>135</v>
      </c>
      <c r="B30" s="6">
        <v>4.75</v>
      </c>
      <c r="C30" s="6">
        <v>1.89</v>
      </c>
      <c r="D30" s="6">
        <f t="shared" si="4"/>
        <v>13.28</v>
      </c>
      <c r="E30" s="4">
        <f t="shared" si="5"/>
        <v>8.9774999999999991</v>
      </c>
      <c r="I30" s="1"/>
      <c r="J30" s="1"/>
      <c r="K30" s="1"/>
      <c r="L30" s="1"/>
      <c r="M30" s="1"/>
      <c r="N30" s="1"/>
      <c r="O30" s="1"/>
      <c r="P30" s="1"/>
    </row>
    <row r="31" spans="1:16">
      <c r="A31" s="57" t="s">
        <v>128</v>
      </c>
      <c r="B31" s="6">
        <v>1.8</v>
      </c>
      <c r="C31" s="6">
        <v>1.8</v>
      </c>
      <c r="D31" s="6">
        <f t="shared" si="4"/>
        <v>7.2</v>
      </c>
      <c r="E31" s="4">
        <f t="shared" si="5"/>
        <v>3.24</v>
      </c>
      <c r="I31" s="1"/>
      <c r="J31" s="1"/>
      <c r="K31" s="1"/>
      <c r="L31" s="1"/>
      <c r="M31" s="1"/>
      <c r="N31" s="1"/>
      <c r="O31" s="1"/>
      <c r="P31" s="1"/>
    </row>
    <row r="32" spans="1:16">
      <c r="A32" s="57" t="s">
        <v>136</v>
      </c>
      <c r="B32" s="6">
        <v>1.5</v>
      </c>
      <c r="C32" s="6">
        <v>1.8</v>
      </c>
      <c r="D32" s="6">
        <f t="shared" si="4"/>
        <v>6.6</v>
      </c>
      <c r="E32" s="4">
        <f t="shared" si="5"/>
        <v>2.7</v>
      </c>
      <c r="I32" s="1"/>
      <c r="J32" s="1"/>
      <c r="K32" s="1"/>
      <c r="L32" s="1"/>
      <c r="M32" s="1"/>
      <c r="N32" s="1"/>
      <c r="O32" s="1"/>
      <c r="P32" s="1"/>
    </row>
    <row r="33" spans="1:16">
      <c r="A33" s="57" t="s">
        <v>128</v>
      </c>
      <c r="B33" s="9"/>
      <c r="C33" s="9"/>
      <c r="D33" s="6">
        <v>7.1</v>
      </c>
      <c r="E33" s="4">
        <v>3.18</v>
      </c>
      <c r="I33" s="1"/>
      <c r="J33" s="1"/>
      <c r="K33" s="1"/>
      <c r="L33" s="1"/>
      <c r="M33" s="1"/>
      <c r="N33" s="1"/>
      <c r="O33" s="1"/>
      <c r="P33" s="1"/>
    </row>
    <row r="34" spans="1:16">
      <c r="A34" s="57" t="s">
        <v>134</v>
      </c>
      <c r="B34" s="9"/>
      <c r="C34" s="9"/>
      <c r="D34" s="6">
        <v>15.12</v>
      </c>
      <c r="E34" s="4">
        <v>12.85</v>
      </c>
      <c r="I34" s="1"/>
      <c r="J34" s="1"/>
      <c r="K34" s="1"/>
      <c r="L34" s="1"/>
      <c r="M34" s="1"/>
      <c r="N34" s="1"/>
      <c r="O34" s="1"/>
      <c r="P34" s="1"/>
    </row>
    <row r="35" spans="1:16">
      <c r="A35" s="57" t="s">
        <v>143</v>
      </c>
      <c r="B35" s="9"/>
      <c r="C35" s="9"/>
      <c r="D35" s="6">
        <v>63.03</v>
      </c>
      <c r="E35" s="4">
        <v>175.36</v>
      </c>
      <c r="I35" s="1"/>
      <c r="J35" s="1"/>
      <c r="K35" s="1"/>
      <c r="L35" s="1"/>
      <c r="M35" s="1"/>
      <c r="N35" s="1"/>
      <c r="O35" s="1"/>
      <c r="P35" s="1"/>
    </row>
    <row r="36" spans="1:16">
      <c r="A36" s="57" t="s">
        <v>137</v>
      </c>
      <c r="B36" s="6">
        <v>1.95</v>
      </c>
      <c r="C36" s="6">
        <v>3.23</v>
      </c>
      <c r="D36" s="6">
        <f t="shared" ref="D36:D38" si="6">2*(B36+C36)</f>
        <v>10.36</v>
      </c>
      <c r="E36" s="4">
        <f t="shared" ref="E36:E38" si="7">B36*C36</f>
        <v>6.2984999999999998</v>
      </c>
      <c r="I36" s="1"/>
      <c r="J36" s="1"/>
      <c r="K36" s="1"/>
      <c r="L36" s="1"/>
      <c r="M36" s="1"/>
      <c r="N36" s="1"/>
      <c r="O36" s="1"/>
      <c r="P36" s="1"/>
    </row>
    <row r="37" spans="1:16">
      <c r="A37" s="57" t="s">
        <v>138</v>
      </c>
      <c r="B37" s="6">
        <v>1.95</v>
      </c>
      <c r="C37" s="6">
        <v>2.15</v>
      </c>
      <c r="D37" s="6">
        <f t="shared" si="6"/>
        <v>8.1999999999999993</v>
      </c>
      <c r="E37" s="4">
        <f t="shared" si="7"/>
        <v>4.1924999999999999</v>
      </c>
      <c r="I37" s="1"/>
      <c r="J37" s="1"/>
      <c r="K37" s="1"/>
      <c r="L37" s="1"/>
      <c r="M37" s="1"/>
      <c r="N37" s="1"/>
      <c r="O37" s="1"/>
      <c r="P37" s="1"/>
    </row>
    <row r="38" spans="1:16">
      <c r="A38" s="57" t="s">
        <v>134</v>
      </c>
      <c r="B38" s="6">
        <v>1.95</v>
      </c>
      <c r="C38" s="6">
        <v>1.1000000000000001</v>
      </c>
      <c r="D38" s="6">
        <f t="shared" si="6"/>
        <v>6.1</v>
      </c>
      <c r="E38" s="4">
        <f t="shared" si="7"/>
        <v>2.145</v>
      </c>
      <c r="I38" s="1"/>
      <c r="J38" s="1"/>
      <c r="K38" s="1"/>
      <c r="L38" s="1"/>
      <c r="M38" s="1"/>
      <c r="N38" s="1"/>
      <c r="O38" s="1"/>
      <c r="P38" s="1"/>
    </row>
    <row r="39" spans="1:16">
      <c r="A39" s="57" t="s">
        <v>4</v>
      </c>
      <c r="B39" s="9"/>
      <c r="C39" s="9"/>
      <c r="D39" s="6">
        <v>134.11000000000001</v>
      </c>
      <c r="E39" s="4">
        <v>148.59</v>
      </c>
      <c r="I39" s="1"/>
      <c r="J39" s="1"/>
      <c r="K39" s="1"/>
      <c r="L39" s="1"/>
      <c r="M39" s="1"/>
      <c r="N39" s="1"/>
      <c r="O39" s="1"/>
      <c r="P39" s="1"/>
    </row>
    <row r="40" spans="1:16">
      <c r="A40" s="57" t="s">
        <v>140</v>
      </c>
      <c r="B40" s="6">
        <v>2.35</v>
      </c>
      <c r="C40" s="6">
        <v>3.42</v>
      </c>
      <c r="D40" s="6">
        <f t="shared" ref="D40" si="8">2*(B40+C40)</f>
        <v>11.54</v>
      </c>
      <c r="E40" s="4">
        <f t="shared" ref="E40" si="9">B40*C40</f>
        <v>8.0370000000000008</v>
      </c>
      <c r="I40" s="1"/>
      <c r="J40" s="1"/>
      <c r="K40" s="1"/>
      <c r="L40" s="1"/>
      <c r="M40" s="1"/>
      <c r="N40" s="1"/>
      <c r="O40" s="1"/>
      <c r="P40" s="1"/>
    </row>
    <row r="41" spans="1:16">
      <c r="A41" s="57" t="s">
        <v>145</v>
      </c>
      <c r="B41" s="9"/>
      <c r="C41" s="9"/>
      <c r="D41" s="6">
        <v>45.7</v>
      </c>
      <c r="E41" s="4">
        <v>79.39</v>
      </c>
      <c r="I41" s="1"/>
      <c r="J41" s="1"/>
      <c r="K41" s="1"/>
      <c r="L41" s="1"/>
      <c r="M41" s="1"/>
      <c r="N41" s="1"/>
      <c r="O41" s="1"/>
      <c r="P41" s="1"/>
    </row>
    <row r="42" spans="1:16">
      <c r="A42" s="57" t="s">
        <v>128</v>
      </c>
      <c r="B42" s="6">
        <v>2.35</v>
      </c>
      <c r="C42" s="6">
        <v>1.8</v>
      </c>
      <c r="D42" s="6">
        <f t="shared" ref="D42:D43" si="10">2*(B42+C42)</f>
        <v>8.3000000000000007</v>
      </c>
      <c r="E42" s="4">
        <f t="shared" ref="E42:E43" si="11">B42*C42</f>
        <v>4.2300000000000004</v>
      </c>
      <c r="I42" s="1"/>
      <c r="J42" s="1"/>
      <c r="K42" s="1"/>
      <c r="L42" s="1"/>
      <c r="M42" s="1"/>
      <c r="N42" s="1"/>
      <c r="O42" s="1"/>
      <c r="P42" s="1"/>
    </row>
    <row r="43" spans="1:16">
      <c r="A43" s="57" t="s">
        <v>128</v>
      </c>
      <c r="B43" s="6">
        <v>2.35</v>
      </c>
      <c r="C43" s="6">
        <v>1.8</v>
      </c>
      <c r="D43" s="6">
        <f t="shared" si="10"/>
        <v>8.3000000000000007</v>
      </c>
      <c r="E43" s="4">
        <f t="shared" si="11"/>
        <v>4.2300000000000004</v>
      </c>
      <c r="I43" s="1"/>
      <c r="J43" s="1"/>
      <c r="K43" s="1"/>
      <c r="L43" s="1"/>
      <c r="M43" s="1"/>
      <c r="N43" s="1"/>
      <c r="O43" s="1"/>
      <c r="P43" s="1"/>
    </row>
    <row r="44" spans="1:16">
      <c r="A44" s="57" t="s">
        <v>146</v>
      </c>
      <c r="B44" s="9"/>
      <c r="C44" s="9"/>
      <c r="D44" s="6">
        <v>33.200000000000003</v>
      </c>
      <c r="E44" s="4">
        <v>59.11</v>
      </c>
      <c r="I44" s="1"/>
      <c r="J44" s="1"/>
      <c r="K44" s="1"/>
      <c r="L44" s="1"/>
      <c r="M44" s="1"/>
      <c r="N44" s="1"/>
      <c r="O44" s="1"/>
      <c r="P44" s="1"/>
    </row>
    <row r="45" spans="1:16">
      <c r="A45" s="57" t="s">
        <v>147</v>
      </c>
      <c r="B45" s="6">
        <v>3.45</v>
      </c>
      <c r="C45" s="6">
        <v>2.4500000000000002</v>
      </c>
      <c r="D45" s="6">
        <f t="shared" si="0"/>
        <v>11.8</v>
      </c>
      <c r="E45" s="4">
        <f t="shared" ref="E45:E48" si="12">B45*C45</f>
        <v>8.4525000000000006</v>
      </c>
      <c r="I45" s="1"/>
      <c r="J45" s="1"/>
      <c r="K45" s="1"/>
      <c r="L45" s="1"/>
      <c r="M45" s="1"/>
      <c r="N45" s="1"/>
      <c r="O45" s="1"/>
      <c r="P45" s="1"/>
    </row>
    <row r="46" spans="1:16">
      <c r="A46" s="57" t="s">
        <v>124</v>
      </c>
      <c r="B46" s="6">
        <v>3.45</v>
      </c>
      <c r="C46" s="6">
        <v>3.2</v>
      </c>
      <c r="D46" s="6">
        <f t="shared" si="0"/>
        <v>13.3</v>
      </c>
      <c r="E46" s="4">
        <f t="shared" si="12"/>
        <v>11.040000000000001</v>
      </c>
      <c r="I46" s="1"/>
      <c r="J46" s="1"/>
      <c r="K46" s="1"/>
      <c r="L46" s="1"/>
      <c r="M46" s="1"/>
      <c r="N46" s="1"/>
      <c r="O46" s="1"/>
      <c r="P46" s="1"/>
    </row>
    <row r="47" spans="1:16">
      <c r="A47" s="57" t="s">
        <v>148</v>
      </c>
      <c r="B47" s="6">
        <v>4.55</v>
      </c>
      <c r="C47" s="6">
        <v>2.35</v>
      </c>
      <c r="D47" s="6">
        <f t="shared" si="0"/>
        <v>13.8</v>
      </c>
      <c r="E47" s="4">
        <f t="shared" si="12"/>
        <v>10.692500000000001</v>
      </c>
      <c r="I47" s="1"/>
      <c r="J47" s="1"/>
      <c r="K47" s="1"/>
      <c r="L47" s="1"/>
      <c r="M47" s="1"/>
      <c r="N47" s="1"/>
      <c r="O47" s="1"/>
      <c r="P47" s="1"/>
    </row>
    <row r="48" spans="1:16">
      <c r="A48" s="57" t="s">
        <v>149</v>
      </c>
      <c r="B48" s="6">
        <v>3.78</v>
      </c>
      <c r="C48" s="6">
        <v>4.45</v>
      </c>
      <c r="D48" s="6">
        <f t="shared" si="0"/>
        <v>16.46</v>
      </c>
      <c r="E48" s="4">
        <f t="shared" si="12"/>
        <v>16.821000000000002</v>
      </c>
      <c r="I48" s="1"/>
      <c r="J48" s="1"/>
      <c r="K48" s="1"/>
      <c r="L48" s="1"/>
      <c r="M48" s="1"/>
      <c r="N48" s="1"/>
      <c r="O48" s="1"/>
      <c r="P48" s="1"/>
    </row>
    <row r="49" spans="1:16">
      <c r="A49" s="57" t="s">
        <v>151</v>
      </c>
      <c r="B49" s="6">
        <v>2.17</v>
      </c>
      <c r="C49" s="6">
        <v>12.7</v>
      </c>
      <c r="D49" s="6">
        <f t="shared" si="0"/>
        <v>29.74</v>
      </c>
      <c r="E49" s="4">
        <f t="shared" ref="E49" si="13">B49*C49</f>
        <v>27.558999999999997</v>
      </c>
      <c r="I49" s="1"/>
      <c r="J49" s="1"/>
      <c r="K49" s="1"/>
      <c r="L49" s="1"/>
      <c r="M49" s="1"/>
      <c r="N49" s="1"/>
      <c r="O49" s="1"/>
      <c r="P49" s="1"/>
    </row>
    <row r="50" spans="1:16">
      <c r="A50" s="57" t="s">
        <v>153</v>
      </c>
      <c r="B50" s="6">
        <v>2.0499999999999998</v>
      </c>
      <c r="C50" s="6">
        <v>12.7</v>
      </c>
      <c r="D50" s="6">
        <f t="shared" si="0"/>
        <v>29.5</v>
      </c>
      <c r="E50" s="4">
        <f t="shared" ref="E50" si="14">B50*C50</f>
        <v>26.034999999999997</v>
      </c>
      <c r="I50" s="1"/>
      <c r="J50" s="1"/>
      <c r="K50" s="1"/>
      <c r="L50" s="1"/>
      <c r="M50" s="1"/>
      <c r="N50" s="1"/>
      <c r="O50" s="1"/>
      <c r="P50" s="1"/>
    </row>
    <row r="52" spans="1:16">
      <c r="A52" s="57" t="s">
        <v>83</v>
      </c>
      <c r="B52" s="155">
        <f>SUM(E3:E50)</f>
        <v>957.15299999999991</v>
      </c>
      <c r="C52" s="156"/>
    </row>
    <row r="53" spans="1:16" hidden="1">
      <c r="A53" s="5" t="s">
        <v>397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Plan23">
    <tabColor rgb="FF00FF00"/>
  </sheetPr>
  <dimension ref="A1:P53"/>
  <sheetViews>
    <sheetView view="pageBreakPreview" zoomScale="60" zoomScaleNormal="85" workbookViewId="0">
      <pane ySplit="2" topLeftCell="A18" activePane="bottomLeft" state="frozenSplit"/>
      <selection pane="bottomLeft" activeCell="R83" sqref="R8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398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5" t="s">
        <v>111</v>
      </c>
      <c r="B3" s="9"/>
      <c r="C3" s="9"/>
      <c r="D3" s="6">
        <v>32.799999999999997</v>
      </c>
      <c r="E3" s="4">
        <v>51.4</v>
      </c>
      <c r="I3" s="1"/>
      <c r="J3" s="1"/>
      <c r="K3" s="1"/>
      <c r="L3" s="1"/>
      <c r="M3" s="1"/>
      <c r="N3" s="1"/>
      <c r="O3" s="1"/>
      <c r="P3" s="1"/>
    </row>
    <row r="4" spans="1:16">
      <c r="A4" s="85" t="s">
        <v>112</v>
      </c>
      <c r="B4" s="6">
        <v>2</v>
      </c>
      <c r="C4" s="6">
        <v>2</v>
      </c>
      <c r="D4" s="6">
        <f t="shared" ref="D4:D50" si="0">2*(B4+C4)</f>
        <v>8</v>
      </c>
      <c r="E4" s="4">
        <f t="shared" ref="E4:E22" si="1">B4*C4</f>
        <v>4</v>
      </c>
      <c r="I4" s="1"/>
      <c r="J4" s="1"/>
      <c r="M4" s="1"/>
      <c r="N4" s="1"/>
    </row>
    <row r="5" spans="1:16">
      <c r="A5" s="85" t="s">
        <v>5</v>
      </c>
      <c r="B5" s="6">
        <v>2</v>
      </c>
      <c r="C5" s="6">
        <v>1.42</v>
      </c>
      <c r="D5" s="6">
        <f t="shared" si="0"/>
        <v>6.84</v>
      </c>
      <c r="E5" s="4">
        <f t="shared" si="1"/>
        <v>2.84</v>
      </c>
      <c r="I5" s="1"/>
      <c r="J5" s="1"/>
      <c r="K5" s="1"/>
      <c r="L5" s="1"/>
      <c r="M5" s="1"/>
      <c r="N5" s="1"/>
      <c r="O5" s="1"/>
      <c r="P5" s="1"/>
    </row>
    <row r="6" spans="1:16">
      <c r="A6" s="85" t="s">
        <v>113</v>
      </c>
      <c r="B6" s="6">
        <v>2</v>
      </c>
      <c r="C6" s="6">
        <v>1.6</v>
      </c>
      <c r="D6" s="6">
        <f t="shared" si="0"/>
        <v>7.2</v>
      </c>
      <c r="E6" s="4">
        <f t="shared" si="1"/>
        <v>3.2</v>
      </c>
      <c r="I6" s="1"/>
      <c r="J6" s="1"/>
      <c r="K6" s="1"/>
      <c r="L6" s="1"/>
      <c r="M6" s="1"/>
      <c r="N6" s="1"/>
      <c r="O6" s="1"/>
      <c r="P6" s="1"/>
    </row>
    <row r="7" spans="1:16">
      <c r="A7" s="85" t="s">
        <v>114</v>
      </c>
      <c r="B7" s="6">
        <v>2</v>
      </c>
      <c r="C7" s="6">
        <v>2</v>
      </c>
      <c r="D7" s="6">
        <f t="shared" si="0"/>
        <v>8</v>
      </c>
      <c r="E7" s="4">
        <f t="shared" si="1"/>
        <v>4</v>
      </c>
      <c r="I7" s="1"/>
      <c r="J7" s="1"/>
      <c r="K7" s="1"/>
      <c r="L7" s="1"/>
      <c r="M7" s="1"/>
      <c r="N7" s="1"/>
      <c r="O7" s="1"/>
      <c r="P7" s="1"/>
    </row>
    <row r="8" spans="1:16">
      <c r="A8" s="85" t="s">
        <v>141</v>
      </c>
      <c r="B8" s="6">
        <v>7.05</v>
      </c>
      <c r="C8" s="6">
        <v>5.32</v>
      </c>
      <c r="D8" s="6">
        <f t="shared" si="0"/>
        <v>24.740000000000002</v>
      </c>
      <c r="E8" s="4">
        <f t="shared" si="1"/>
        <v>37.506</v>
      </c>
      <c r="I8" s="1"/>
      <c r="J8" s="1"/>
      <c r="K8" s="1"/>
      <c r="L8" s="1"/>
      <c r="M8" s="1"/>
      <c r="N8" s="1"/>
      <c r="O8" s="1"/>
      <c r="P8" s="1"/>
    </row>
    <row r="9" spans="1:16">
      <c r="A9" s="85" t="s">
        <v>142</v>
      </c>
      <c r="B9" s="6">
        <v>4.5</v>
      </c>
      <c r="C9" s="6">
        <v>3.3</v>
      </c>
      <c r="D9" s="6">
        <f t="shared" si="0"/>
        <v>15.6</v>
      </c>
      <c r="E9" s="4">
        <f t="shared" si="1"/>
        <v>14.85</v>
      </c>
      <c r="I9" s="1"/>
      <c r="J9" s="1"/>
      <c r="K9" s="1"/>
      <c r="L9" s="1"/>
      <c r="M9" s="1"/>
      <c r="N9" s="1"/>
      <c r="O9" s="1"/>
      <c r="P9" s="1"/>
    </row>
    <row r="10" spans="1:16">
      <c r="A10" s="85" t="s">
        <v>115</v>
      </c>
      <c r="B10" s="6">
        <v>4.55</v>
      </c>
      <c r="C10" s="6">
        <v>3.3</v>
      </c>
      <c r="D10" s="6">
        <f t="shared" si="0"/>
        <v>15.7</v>
      </c>
      <c r="E10" s="4">
        <f t="shared" si="1"/>
        <v>15.014999999999999</v>
      </c>
      <c r="I10" s="1"/>
      <c r="J10" s="1"/>
      <c r="K10" s="1"/>
      <c r="L10" s="1"/>
      <c r="M10" s="1"/>
      <c r="N10" s="1"/>
      <c r="O10" s="1"/>
      <c r="P10" s="1"/>
    </row>
    <row r="11" spans="1:16">
      <c r="A11" s="85" t="s">
        <v>116</v>
      </c>
      <c r="B11" s="6">
        <v>3.9</v>
      </c>
      <c r="C11" s="6">
        <v>2.95</v>
      </c>
      <c r="D11" s="6">
        <f t="shared" si="0"/>
        <v>13.7</v>
      </c>
      <c r="E11" s="4">
        <f t="shared" si="1"/>
        <v>11.505000000000001</v>
      </c>
      <c r="I11" s="1"/>
      <c r="J11" s="1"/>
      <c r="K11" s="1"/>
      <c r="L11" s="1"/>
      <c r="M11" s="1"/>
      <c r="N11" s="1"/>
      <c r="O11" s="1"/>
      <c r="P11" s="1"/>
    </row>
    <row r="12" spans="1:16">
      <c r="A12" s="85" t="s">
        <v>117</v>
      </c>
      <c r="B12" s="6">
        <v>4</v>
      </c>
      <c r="C12" s="6">
        <v>3.55</v>
      </c>
      <c r="D12" s="6">
        <f t="shared" si="0"/>
        <v>15.1</v>
      </c>
      <c r="E12" s="4">
        <f t="shared" si="1"/>
        <v>14.2</v>
      </c>
      <c r="I12" s="1"/>
      <c r="J12" s="1"/>
      <c r="K12" s="1"/>
      <c r="L12" s="1"/>
      <c r="M12" s="1"/>
      <c r="N12" s="1"/>
      <c r="O12" s="1"/>
      <c r="P12" s="1"/>
    </row>
    <row r="13" spans="1:16">
      <c r="A13" s="85" t="s">
        <v>120</v>
      </c>
      <c r="B13" s="6">
        <v>1.8</v>
      </c>
      <c r="C13" s="6">
        <v>2.95</v>
      </c>
      <c r="D13" s="6">
        <f t="shared" si="0"/>
        <v>9.5</v>
      </c>
      <c r="E13" s="4">
        <f t="shared" si="1"/>
        <v>5.3100000000000005</v>
      </c>
      <c r="I13" s="1"/>
      <c r="J13" s="1"/>
      <c r="K13" s="1"/>
      <c r="L13" s="1"/>
      <c r="M13" s="1"/>
      <c r="N13" s="1"/>
      <c r="O13" s="1"/>
      <c r="P13" s="1"/>
    </row>
    <row r="14" spans="1:16">
      <c r="A14" s="85" t="s">
        <v>121</v>
      </c>
      <c r="B14" s="6">
        <v>2.0499999999999998</v>
      </c>
      <c r="C14" s="6">
        <v>2.95</v>
      </c>
      <c r="D14" s="6">
        <f t="shared" si="0"/>
        <v>10</v>
      </c>
      <c r="E14" s="4">
        <f t="shared" si="1"/>
        <v>6.0474999999999994</v>
      </c>
      <c r="I14" s="1"/>
      <c r="J14" s="1"/>
      <c r="K14" s="1"/>
      <c r="L14" s="1"/>
      <c r="M14" s="1"/>
      <c r="N14" s="1"/>
      <c r="O14" s="1"/>
      <c r="P14" s="1"/>
    </row>
    <row r="15" spans="1:16">
      <c r="A15" s="85" t="s">
        <v>118</v>
      </c>
      <c r="B15" s="6">
        <v>3.35</v>
      </c>
      <c r="C15" s="6">
        <v>2.2349999999999999</v>
      </c>
      <c r="D15" s="6">
        <f t="shared" si="0"/>
        <v>11.17</v>
      </c>
      <c r="E15" s="4">
        <f t="shared" si="1"/>
        <v>7.4872499999999995</v>
      </c>
      <c r="I15" s="1"/>
      <c r="J15" s="1"/>
      <c r="K15" s="1"/>
      <c r="L15" s="1"/>
      <c r="M15" s="1"/>
      <c r="N15" s="1"/>
      <c r="O15" s="1"/>
      <c r="P15" s="1"/>
    </row>
    <row r="16" spans="1:16">
      <c r="A16" s="85" t="s">
        <v>119</v>
      </c>
      <c r="B16" s="6">
        <v>3.35</v>
      </c>
      <c r="C16" s="6">
        <v>2.2349999999999999</v>
      </c>
      <c r="D16" s="6">
        <f t="shared" si="0"/>
        <v>11.17</v>
      </c>
      <c r="E16" s="4">
        <f t="shared" si="1"/>
        <v>7.4872499999999995</v>
      </c>
      <c r="I16" s="1"/>
      <c r="J16" s="1"/>
      <c r="K16" s="1"/>
      <c r="L16" s="1"/>
      <c r="M16" s="1"/>
      <c r="N16" s="1"/>
      <c r="O16" s="1"/>
      <c r="P16" s="1"/>
    </row>
    <row r="17" spans="1:16">
      <c r="A17" s="85" t="s">
        <v>123</v>
      </c>
      <c r="B17" s="6">
        <v>3.35</v>
      </c>
      <c r="C17" s="6">
        <v>2.95</v>
      </c>
      <c r="D17" s="6">
        <f t="shared" si="0"/>
        <v>12.600000000000001</v>
      </c>
      <c r="E17" s="4">
        <f t="shared" si="1"/>
        <v>9.8825000000000003</v>
      </c>
      <c r="I17" s="1"/>
      <c r="J17" s="1"/>
      <c r="K17" s="1"/>
      <c r="L17" s="1"/>
      <c r="M17" s="1"/>
      <c r="N17" s="1"/>
      <c r="O17" s="1"/>
      <c r="P17" s="1"/>
    </row>
    <row r="18" spans="1:16">
      <c r="A18" s="85" t="s">
        <v>124</v>
      </c>
      <c r="B18" s="6">
        <v>5.0999999999999996</v>
      </c>
      <c r="C18" s="6">
        <v>4.0199999999999996</v>
      </c>
      <c r="D18" s="6">
        <f t="shared" si="0"/>
        <v>18.239999999999998</v>
      </c>
      <c r="E18" s="4">
        <f t="shared" si="1"/>
        <v>20.501999999999995</v>
      </c>
      <c r="I18" s="1"/>
      <c r="J18" s="1"/>
      <c r="K18" s="1"/>
      <c r="L18" s="1"/>
      <c r="M18" s="1"/>
      <c r="N18" s="1"/>
      <c r="O18" s="1"/>
      <c r="P18" s="1"/>
    </row>
    <row r="19" spans="1:16">
      <c r="A19" s="85" t="s">
        <v>125</v>
      </c>
      <c r="B19" s="6">
        <v>2.5</v>
      </c>
      <c r="C19" s="6">
        <v>4.42</v>
      </c>
      <c r="D19" s="6">
        <f t="shared" si="0"/>
        <v>13.84</v>
      </c>
      <c r="E19" s="4">
        <f t="shared" si="1"/>
        <v>11.05</v>
      </c>
      <c r="I19" s="1"/>
      <c r="J19" s="1"/>
      <c r="K19" s="1"/>
      <c r="L19" s="1"/>
      <c r="M19" s="1"/>
      <c r="N19" s="1"/>
      <c r="O19" s="1"/>
      <c r="P19" s="1"/>
    </row>
    <row r="20" spans="1:16">
      <c r="A20" s="85" t="s">
        <v>126</v>
      </c>
      <c r="B20" s="6">
        <v>2.5</v>
      </c>
      <c r="C20" s="6">
        <v>1.6</v>
      </c>
      <c r="D20" s="6">
        <f t="shared" si="0"/>
        <v>8.1999999999999993</v>
      </c>
      <c r="E20" s="4">
        <f t="shared" si="1"/>
        <v>4</v>
      </c>
      <c r="I20" s="1"/>
      <c r="J20" s="1"/>
      <c r="K20" s="1"/>
      <c r="L20" s="1"/>
      <c r="M20" s="1"/>
      <c r="N20" s="1"/>
      <c r="O20" s="1"/>
      <c r="P20" s="1"/>
    </row>
    <row r="21" spans="1:16">
      <c r="A21" s="85" t="s">
        <v>127</v>
      </c>
      <c r="B21" s="6">
        <v>2.5499999999999998</v>
      </c>
      <c r="C21" s="6">
        <v>4.42</v>
      </c>
      <c r="D21" s="6">
        <f t="shared" si="0"/>
        <v>13.94</v>
      </c>
      <c r="E21" s="4">
        <f t="shared" si="1"/>
        <v>11.270999999999999</v>
      </c>
      <c r="I21" s="1"/>
      <c r="J21" s="1"/>
      <c r="K21" s="1"/>
      <c r="L21" s="1"/>
      <c r="M21" s="1"/>
      <c r="N21" s="1"/>
      <c r="O21" s="1"/>
      <c r="P21" s="1"/>
    </row>
    <row r="22" spans="1:16">
      <c r="A22" s="85" t="s">
        <v>128</v>
      </c>
      <c r="B22" s="6">
        <v>2.5499999999999998</v>
      </c>
      <c r="C22" s="6">
        <v>1.6</v>
      </c>
      <c r="D22" s="6">
        <f t="shared" si="0"/>
        <v>8.3000000000000007</v>
      </c>
      <c r="E22" s="4">
        <f t="shared" si="1"/>
        <v>4.08</v>
      </c>
      <c r="I22" s="1"/>
      <c r="J22" s="1"/>
      <c r="K22" s="1"/>
      <c r="L22" s="1"/>
      <c r="M22" s="1"/>
      <c r="N22" s="1"/>
      <c r="O22" s="1"/>
      <c r="P22" s="1"/>
    </row>
    <row r="23" spans="1:16">
      <c r="A23" s="85" t="s">
        <v>129</v>
      </c>
      <c r="B23" s="9"/>
      <c r="C23" s="9"/>
      <c r="D23" s="6">
        <v>21.4</v>
      </c>
      <c r="E23" s="4">
        <v>22.9</v>
      </c>
      <c r="I23" s="1"/>
      <c r="J23" s="1"/>
      <c r="K23" s="1"/>
      <c r="L23" s="1"/>
      <c r="M23" s="1"/>
      <c r="N23" s="1"/>
      <c r="O23" s="1"/>
      <c r="P23" s="1"/>
    </row>
    <row r="24" spans="1:16">
      <c r="A24" s="85" t="s">
        <v>130</v>
      </c>
      <c r="B24" s="6">
        <v>2.5499999999999998</v>
      </c>
      <c r="C24" s="6">
        <v>4.9000000000000004</v>
      </c>
      <c r="D24" s="6">
        <f t="shared" ref="D24:D25" si="2">2*(B24+C24)</f>
        <v>14.9</v>
      </c>
      <c r="E24" s="4">
        <f t="shared" ref="E24:E25" si="3">B24*C24</f>
        <v>12.494999999999999</v>
      </c>
      <c r="I24" s="1"/>
      <c r="J24" s="1"/>
      <c r="K24" s="1"/>
      <c r="L24" s="1"/>
      <c r="M24" s="1"/>
      <c r="N24" s="1"/>
      <c r="O24" s="1"/>
      <c r="P24" s="1"/>
    </row>
    <row r="25" spans="1:16">
      <c r="A25" s="85" t="s">
        <v>144</v>
      </c>
      <c r="B25" s="6">
        <v>2.5499999999999998</v>
      </c>
      <c r="C25" s="6">
        <v>4.9000000000000004</v>
      </c>
      <c r="D25" s="6">
        <f t="shared" si="2"/>
        <v>14.9</v>
      </c>
      <c r="E25" s="4">
        <f t="shared" si="3"/>
        <v>12.494999999999999</v>
      </c>
      <c r="I25" s="1"/>
      <c r="J25" s="1"/>
      <c r="K25" s="1"/>
      <c r="L25" s="1"/>
      <c r="M25" s="1"/>
      <c r="N25" s="1"/>
      <c r="O25" s="1"/>
      <c r="P25" s="1"/>
    </row>
    <row r="26" spans="1:16">
      <c r="A26" s="85" t="s">
        <v>131</v>
      </c>
      <c r="B26" s="9"/>
      <c r="C26" s="9"/>
      <c r="D26" s="6">
        <v>14.9</v>
      </c>
      <c r="E26" s="4">
        <v>10.93</v>
      </c>
      <c r="I26" s="1"/>
      <c r="J26" s="1"/>
      <c r="K26" s="1"/>
      <c r="L26" s="1"/>
      <c r="M26" s="1"/>
      <c r="N26" s="1"/>
      <c r="O26" s="1"/>
      <c r="P26" s="1"/>
    </row>
    <row r="27" spans="1:16">
      <c r="A27" s="85" t="s">
        <v>132</v>
      </c>
      <c r="B27" s="6">
        <v>2.2999999999999998</v>
      </c>
      <c r="C27" s="6">
        <v>2.2000000000000002</v>
      </c>
      <c r="D27" s="6">
        <f t="shared" ref="D27:D32" si="4">2*(B27+C27)</f>
        <v>9</v>
      </c>
      <c r="E27" s="4">
        <f t="shared" ref="E27:E32" si="5">B27*C27</f>
        <v>5.0599999999999996</v>
      </c>
      <c r="I27" s="1"/>
      <c r="J27" s="1"/>
      <c r="K27" s="1"/>
      <c r="L27" s="1"/>
      <c r="M27" s="1"/>
      <c r="N27" s="1"/>
      <c r="O27" s="1"/>
      <c r="P27" s="1"/>
    </row>
    <row r="28" spans="1:16">
      <c r="A28" s="85" t="s">
        <v>133</v>
      </c>
      <c r="B28" s="6">
        <v>5.15</v>
      </c>
      <c r="C28" s="6">
        <v>2.2000000000000002</v>
      </c>
      <c r="D28" s="6">
        <f t="shared" si="4"/>
        <v>14.700000000000001</v>
      </c>
      <c r="E28" s="4">
        <f t="shared" si="5"/>
        <v>11.330000000000002</v>
      </c>
      <c r="I28" s="1"/>
      <c r="J28" s="1"/>
      <c r="K28" s="1"/>
      <c r="L28" s="1"/>
      <c r="M28" s="1"/>
      <c r="N28" s="1"/>
      <c r="O28" s="1"/>
      <c r="P28" s="1"/>
    </row>
    <row r="29" spans="1:16">
      <c r="A29" s="85" t="s">
        <v>134</v>
      </c>
      <c r="B29" s="6">
        <v>3.45</v>
      </c>
      <c r="C29" s="6">
        <v>3.82</v>
      </c>
      <c r="D29" s="6">
        <f t="shared" si="4"/>
        <v>14.54</v>
      </c>
      <c r="E29" s="4">
        <f t="shared" si="5"/>
        <v>13.179</v>
      </c>
      <c r="I29" s="1"/>
      <c r="J29" s="1"/>
      <c r="K29" s="1"/>
      <c r="L29" s="1"/>
      <c r="M29" s="1"/>
      <c r="N29" s="1"/>
      <c r="O29" s="1"/>
      <c r="P29" s="1"/>
    </row>
    <row r="30" spans="1:16">
      <c r="A30" s="85" t="s">
        <v>135</v>
      </c>
      <c r="B30" s="6">
        <v>4.75</v>
      </c>
      <c r="C30" s="6">
        <v>1.89</v>
      </c>
      <c r="D30" s="6">
        <f t="shared" si="4"/>
        <v>13.28</v>
      </c>
      <c r="E30" s="4">
        <f t="shared" si="5"/>
        <v>8.9774999999999991</v>
      </c>
      <c r="I30" s="1"/>
      <c r="J30" s="1"/>
      <c r="K30" s="1"/>
      <c r="L30" s="1"/>
      <c r="M30" s="1"/>
      <c r="N30" s="1"/>
      <c r="O30" s="1"/>
      <c r="P30" s="1"/>
    </row>
    <row r="31" spans="1:16">
      <c r="A31" s="85" t="s">
        <v>128</v>
      </c>
      <c r="B31" s="6">
        <v>1.8</v>
      </c>
      <c r="C31" s="6">
        <v>1.8</v>
      </c>
      <c r="D31" s="6">
        <f t="shared" si="4"/>
        <v>7.2</v>
      </c>
      <c r="E31" s="4">
        <f t="shared" si="5"/>
        <v>3.24</v>
      </c>
      <c r="I31" s="1"/>
      <c r="J31" s="1"/>
      <c r="K31" s="1"/>
      <c r="L31" s="1"/>
      <c r="M31" s="1"/>
      <c r="N31" s="1"/>
      <c r="O31" s="1"/>
      <c r="P31" s="1"/>
    </row>
    <row r="32" spans="1:16">
      <c r="A32" s="85" t="s">
        <v>136</v>
      </c>
      <c r="B32" s="6">
        <v>1.5</v>
      </c>
      <c r="C32" s="6">
        <v>1.8</v>
      </c>
      <c r="D32" s="6">
        <f t="shared" si="4"/>
        <v>6.6</v>
      </c>
      <c r="E32" s="4">
        <f t="shared" si="5"/>
        <v>2.7</v>
      </c>
      <c r="I32" s="1"/>
      <c r="J32" s="1"/>
      <c r="K32" s="1"/>
      <c r="L32" s="1"/>
      <c r="M32" s="1"/>
      <c r="N32" s="1"/>
      <c r="O32" s="1"/>
      <c r="P32" s="1"/>
    </row>
    <row r="33" spans="1:16">
      <c r="A33" s="85" t="s">
        <v>128</v>
      </c>
      <c r="B33" s="9"/>
      <c r="C33" s="9"/>
      <c r="D33" s="6">
        <v>7.1</v>
      </c>
      <c r="E33" s="4">
        <v>3.18</v>
      </c>
      <c r="I33" s="1"/>
      <c r="J33" s="1"/>
      <c r="K33" s="1"/>
      <c r="L33" s="1"/>
      <c r="M33" s="1"/>
      <c r="N33" s="1"/>
      <c r="O33" s="1"/>
      <c r="P33" s="1"/>
    </row>
    <row r="34" spans="1:16">
      <c r="A34" s="85" t="s">
        <v>134</v>
      </c>
      <c r="B34" s="9"/>
      <c r="C34" s="9"/>
      <c r="D34" s="6">
        <v>15.12</v>
      </c>
      <c r="E34" s="4">
        <v>12.85</v>
      </c>
      <c r="I34" s="1"/>
      <c r="J34" s="1"/>
      <c r="K34" s="1"/>
      <c r="L34" s="1"/>
      <c r="M34" s="1"/>
      <c r="N34" s="1"/>
      <c r="O34" s="1"/>
      <c r="P34" s="1"/>
    </row>
    <row r="35" spans="1:16">
      <c r="A35" s="85" t="s">
        <v>143</v>
      </c>
      <c r="B35" s="9"/>
      <c r="C35" s="9"/>
      <c r="D35" s="6">
        <v>63.03</v>
      </c>
      <c r="E35" s="4">
        <v>175.36</v>
      </c>
      <c r="I35" s="1"/>
      <c r="J35" s="1"/>
      <c r="K35" s="1"/>
      <c r="L35" s="1"/>
      <c r="M35" s="1"/>
      <c r="N35" s="1"/>
      <c r="O35" s="1"/>
      <c r="P35" s="1"/>
    </row>
    <row r="36" spans="1:16">
      <c r="A36" s="85" t="s">
        <v>137</v>
      </c>
      <c r="B36" s="6">
        <v>1.95</v>
      </c>
      <c r="C36" s="6">
        <v>3.23</v>
      </c>
      <c r="D36" s="6">
        <f t="shared" ref="D36:D38" si="6">2*(B36+C36)</f>
        <v>10.36</v>
      </c>
      <c r="E36" s="4">
        <f t="shared" ref="E36:E38" si="7">B36*C36</f>
        <v>6.2984999999999998</v>
      </c>
      <c r="I36" s="1"/>
      <c r="J36" s="1"/>
      <c r="K36" s="1"/>
      <c r="L36" s="1"/>
      <c r="M36" s="1"/>
      <c r="N36" s="1"/>
      <c r="O36" s="1"/>
      <c r="P36" s="1"/>
    </row>
    <row r="37" spans="1:16">
      <c r="A37" s="85" t="s">
        <v>138</v>
      </c>
      <c r="B37" s="6">
        <v>1.95</v>
      </c>
      <c r="C37" s="6">
        <v>2.15</v>
      </c>
      <c r="D37" s="6">
        <f t="shared" si="6"/>
        <v>8.1999999999999993</v>
      </c>
      <c r="E37" s="4">
        <f t="shared" si="7"/>
        <v>4.1924999999999999</v>
      </c>
      <c r="I37" s="1"/>
      <c r="J37" s="1"/>
      <c r="K37" s="1"/>
      <c r="L37" s="1"/>
      <c r="M37" s="1"/>
      <c r="N37" s="1"/>
      <c r="O37" s="1"/>
      <c r="P37" s="1"/>
    </row>
    <row r="38" spans="1:16">
      <c r="A38" s="85" t="s">
        <v>134</v>
      </c>
      <c r="B38" s="6">
        <v>1.95</v>
      </c>
      <c r="C38" s="6">
        <v>1.1000000000000001</v>
      </c>
      <c r="D38" s="6">
        <f t="shared" si="6"/>
        <v>6.1</v>
      </c>
      <c r="E38" s="4">
        <f t="shared" si="7"/>
        <v>2.145</v>
      </c>
      <c r="I38" s="1"/>
      <c r="J38" s="1"/>
      <c r="K38" s="1"/>
      <c r="L38" s="1"/>
      <c r="M38" s="1"/>
      <c r="N38" s="1"/>
      <c r="O38" s="1"/>
      <c r="P38" s="1"/>
    </row>
    <row r="39" spans="1:16">
      <c r="A39" s="85" t="s">
        <v>4</v>
      </c>
      <c r="B39" s="9"/>
      <c r="C39" s="9"/>
      <c r="D39" s="6">
        <v>134.11000000000001</v>
      </c>
      <c r="E39" s="4">
        <v>148.59</v>
      </c>
      <c r="I39" s="1"/>
      <c r="J39" s="1"/>
      <c r="K39" s="1"/>
      <c r="L39" s="1"/>
      <c r="M39" s="1"/>
      <c r="N39" s="1"/>
      <c r="O39" s="1"/>
      <c r="P39" s="1"/>
    </row>
    <row r="40" spans="1:16">
      <c r="A40" s="85" t="s">
        <v>140</v>
      </c>
      <c r="B40" s="6">
        <v>2.35</v>
      </c>
      <c r="C40" s="6">
        <v>3.42</v>
      </c>
      <c r="D40" s="6">
        <f t="shared" ref="D40" si="8">2*(B40+C40)</f>
        <v>11.54</v>
      </c>
      <c r="E40" s="4">
        <f t="shared" ref="E40" si="9">B40*C40</f>
        <v>8.0370000000000008</v>
      </c>
      <c r="I40" s="1"/>
      <c r="J40" s="1"/>
      <c r="K40" s="1"/>
      <c r="L40" s="1"/>
      <c r="M40" s="1"/>
      <c r="N40" s="1"/>
      <c r="O40" s="1"/>
      <c r="P40" s="1"/>
    </row>
    <row r="41" spans="1:16">
      <c r="A41" s="85" t="s">
        <v>145</v>
      </c>
      <c r="B41" s="9"/>
      <c r="C41" s="9"/>
      <c r="D41" s="6">
        <v>45.7</v>
      </c>
      <c r="E41" s="4">
        <v>79.39</v>
      </c>
      <c r="I41" s="1"/>
      <c r="J41" s="1"/>
      <c r="K41" s="1"/>
      <c r="L41" s="1"/>
      <c r="M41" s="1"/>
      <c r="N41" s="1"/>
      <c r="O41" s="1"/>
      <c r="P41" s="1"/>
    </row>
    <row r="42" spans="1:16">
      <c r="A42" s="85" t="s">
        <v>128</v>
      </c>
      <c r="B42" s="6">
        <v>2.35</v>
      </c>
      <c r="C42" s="6">
        <v>1.8</v>
      </c>
      <c r="D42" s="6">
        <f t="shared" ref="D42:D43" si="10">2*(B42+C42)</f>
        <v>8.3000000000000007</v>
      </c>
      <c r="E42" s="4">
        <f t="shared" ref="E42:E43" si="11">B42*C42</f>
        <v>4.2300000000000004</v>
      </c>
      <c r="I42" s="1"/>
      <c r="J42" s="1"/>
      <c r="K42" s="1"/>
      <c r="L42" s="1"/>
      <c r="M42" s="1"/>
      <c r="N42" s="1"/>
      <c r="O42" s="1"/>
      <c r="P42" s="1"/>
    </row>
    <row r="43" spans="1:16">
      <c r="A43" s="85" t="s">
        <v>128</v>
      </c>
      <c r="B43" s="6">
        <v>2.35</v>
      </c>
      <c r="C43" s="6">
        <v>1.8</v>
      </c>
      <c r="D43" s="6">
        <f t="shared" si="10"/>
        <v>8.3000000000000007</v>
      </c>
      <c r="E43" s="4">
        <f t="shared" si="11"/>
        <v>4.2300000000000004</v>
      </c>
      <c r="I43" s="1"/>
      <c r="J43" s="1"/>
      <c r="K43" s="1"/>
      <c r="L43" s="1"/>
      <c r="M43" s="1"/>
      <c r="N43" s="1"/>
      <c r="O43" s="1"/>
      <c r="P43" s="1"/>
    </row>
    <row r="44" spans="1:16">
      <c r="A44" s="85" t="s">
        <v>146</v>
      </c>
      <c r="B44" s="9"/>
      <c r="C44" s="9"/>
      <c r="D44" s="6">
        <v>33.200000000000003</v>
      </c>
      <c r="E44" s="4">
        <v>59.11</v>
      </c>
      <c r="I44" s="1"/>
      <c r="J44" s="1"/>
      <c r="K44" s="1"/>
      <c r="L44" s="1"/>
      <c r="M44" s="1"/>
      <c r="N44" s="1"/>
      <c r="O44" s="1"/>
      <c r="P44" s="1"/>
    </row>
    <row r="45" spans="1:16">
      <c r="A45" s="85" t="s">
        <v>147</v>
      </c>
      <c r="B45" s="6">
        <v>3.45</v>
      </c>
      <c r="C45" s="6">
        <v>2.4500000000000002</v>
      </c>
      <c r="D45" s="6">
        <f t="shared" si="0"/>
        <v>11.8</v>
      </c>
      <c r="E45" s="4">
        <f t="shared" ref="E45:E50" si="12">B45*C45</f>
        <v>8.4525000000000006</v>
      </c>
      <c r="I45" s="1"/>
      <c r="J45" s="1"/>
      <c r="K45" s="1"/>
      <c r="L45" s="1"/>
      <c r="M45" s="1"/>
      <c r="N45" s="1"/>
      <c r="O45" s="1"/>
      <c r="P45" s="1"/>
    </row>
    <row r="46" spans="1:16">
      <c r="A46" s="85" t="s">
        <v>124</v>
      </c>
      <c r="B46" s="6">
        <v>3.45</v>
      </c>
      <c r="C46" s="6">
        <v>3.2</v>
      </c>
      <c r="D46" s="6">
        <f t="shared" si="0"/>
        <v>13.3</v>
      </c>
      <c r="E46" s="4">
        <f t="shared" si="12"/>
        <v>11.040000000000001</v>
      </c>
      <c r="I46" s="1"/>
      <c r="J46" s="1"/>
      <c r="K46" s="1"/>
      <c r="L46" s="1"/>
      <c r="M46" s="1"/>
      <c r="N46" s="1"/>
      <c r="O46" s="1"/>
      <c r="P46" s="1"/>
    </row>
    <row r="47" spans="1:16">
      <c r="A47" s="85" t="s">
        <v>148</v>
      </c>
      <c r="B47" s="6">
        <v>4.55</v>
      </c>
      <c r="C47" s="6">
        <v>2.35</v>
      </c>
      <c r="D47" s="6">
        <f t="shared" si="0"/>
        <v>13.8</v>
      </c>
      <c r="E47" s="4">
        <f t="shared" si="12"/>
        <v>10.692500000000001</v>
      </c>
      <c r="I47" s="1"/>
      <c r="J47" s="1"/>
      <c r="K47" s="1"/>
      <c r="L47" s="1"/>
      <c r="M47" s="1"/>
      <c r="N47" s="1"/>
      <c r="O47" s="1"/>
      <c r="P47" s="1"/>
    </row>
    <row r="48" spans="1:16">
      <c r="A48" s="85" t="s">
        <v>149</v>
      </c>
      <c r="B48" s="6">
        <v>3.78</v>
      </c>
      <c r="C48" s="6">
        <v>4.45</v>
      </c>
      <c r="D48" s="6">
        <f t="shared" si="0"/>
        <v>16.46</v>
      </c>
      <c r="E48" s="4">
        <f t="shared" si="12"/>
        <v>16.821000000000002</v>
      </c>
      <c r="I48" s="1"/>
      <c r="J48" s="1"/>
      <c r="K48" s="1"/>
      <c r="L48" s="1"/>
      <c r="M48" s="1"/>
      <c r="N48" s="1"/>
      <c r="O48" s="1"/>
      <c r="P48" s="1"/>
    </row>
    <row r="49" spans="1:16">
      <c r="A49" s="85" t="s">
        <v>151</v>
      </c>
      <c r="B49" s="6">
        <v>2.17</v>
      </c>
      <c r="C49" s="6">
        <v>12.7</v>
      </c>
      <c r="D49" s="6">
        <f t="shared" si="0"/>
        <v>29.74</v>
      </c>
      <c r="E49" s="4">
        <f t="shared" si="12"/>
        <v>27.558999999999997</v>
      </c>
      <c r="I49" s="1"/>
      <c r="J49" s="1"/>
      <c r="K49" s="1"/>
      <c r="L49" s="1"/>
      <c r="M49" s="1"/>
      <c r="N49" s="1"/>
      <c r="O49" s="1"/>
      <c r="P49" s="1"/>
    </row>
    <row r="50" spans="1:16">
      <c r="A50" s="85" t="s">
        <v>153</v>
      </c>
      <c r="B50" s="6">
        <v>2.0499999999999998</v>
      </c>
      <c r="C50" s="6">
        <v>12.7</v>
      </c>
      <c r="D50" s="6">
        <f t="shared" si="0"/>
        <v>29.5</v>
      </c>
      <c r="E50" s="4">
        <f t="shared" si="12"/>
        <v>26.034999999999997</v>
      </c>
      <c r="I50" s="1"/>
      <c r="J50" s="1"/>
      <c r="K50" s="1"/>
      <c r="L50" s="1"/>
      <c r="M50" s="1"/>
      <c r="N50" s="1"/>
      <c r="O50" s="1"/>
      <c r="P50" s="1"/>
    </row>
    <row r="52" spans="1:16">
      <c r="A52" s="85" t="s">
        <v>83</v>
      </c>
      <c r="B52" s="155">
        <f>SUM(E3:E50)</f>
        <v>957.15299999999991</v>
      </c>
      <c r="C52" s="156"/>
    </row>
    <row r="53" spans="1:16">
      <c r="A53" s="5" t="s">
        <v>391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scale="62" orientation="landscape" r:id="rId1"/>
  <rowBreaks count="1" manualBreakCount="1">
    <brk id="5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Plan24">
    <tabColor rgb="FF00FF00"/>
  </sheetPr>
  <dimension ref="A1:P53"/>
  <sheetViews>
    <sheetView view="pageBreakPreview" zoomScale="60" zoomScaleNormal="85" workbookViewId="0">
      <pane ySplit="2" topLeftCell="A12" activePane="bottomLeft" state="frozenSplit"/>
      <selection pane="bottomLeft" activeCell="A53" sqref="A5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399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0</v>
      </c>
      <c r="I2" s="1"/>
      <c r="J2" s="1"/>
      <c r="K2" s="1"/>
      <c r="L2" s="1"/>
      <c r="M2" s="1"/>
      <c r="N2" s="1"/>
      <c r="O2" s="1"/>
      <c r="P2" s="1"/>
    </row>
    <row r="3" spans="1:16">
      <c r="A3" s="85" t="s">
        <v>111</v>
      </c>
      <c r="B3" s="9"/>
      <c r="C3" s="9"/>
      <c r="D3" s="6">
        <v>32.799999999999997</v>
      </c>
      <c r="E3" s="4">
        <v>51.4</v>
      </c>
      <c r="I3" s="1"/>
      <c r="J3" s="1"/>
      <c r="K3" s="1"/>
      <c r="L3" s="1"/>
      <c r="M3" s="1"/>
      <c r="N3" s="1"/>
      <c r="O3" s="1"/>
      <c r="P3" s="1"/>
    </row>
    <row r="4" spans="1:16">
      <c r="A4" s="85" t="s">
        <v>112</v>
      </c>
      <c r="B4" s="6">
        <v>2</v>
      </c>
      <c r="C4" s="6">
        <v>2</v>
      </c>
      <c r="D4" s="6">
        <f t="shared" ref="D4:D50" si="0">2*(B4+C4)</f>
        <v>8</v>
      </c>
      <c r="E4" s="4">
        <f t="shared" ref="E4:E22" si="1">B4*C4</f>
        <v>4</v>
      </c>
      <c r="I4" s="1"/>
      <c r="J4" s="1"/>
      <c r="M4" s="1"/>
      <c r="N4" s="1"/>
    </row>
    <row r="5" spans="1:16">
      <c r="A5" s="85" t="s">
        <v>5</v>
      </c>
      <c r="B5" s="6">
        <v>2</v>
      </c>
      <c r="C5" s="6">
        <v>1.42</v>
      </c>
      <c r="D5" s="6">
        <f t="shared" si="0"/>
        <v>6.84</v>
      </c>
      <c r="E5" s="4">
        <f t="shared" si="1"/>
        <v>2.84</v>
      </c>
      <c r="I5" s="1"/>
      <c r="J5" s="1"/>
      <c r="K5" s="1"/>
      <c r="L5" s="1"/>
      <c r="M5" s="1"/>
      <c r="N5" s="1"/>
      <c r="O5" s="1"/>
      <c r="P5" s="1"/>
    </row>
    <row r="6" spans="1:16">
      <c r="A6" s="85" t="s">
        <v>113</v>
      </c>
      <c r="B6" s="6">
        <v>2</v>
      </c>
      <c r="C6" s="6">
        <v>1.6</v>
      </c>
      <c r="D6" s="6">
        <f t="shared" si="0"/>
        <v>7.2</v>
      </c>
      <c r="E6" s="4">
        <f t="shared" si="1"/>
        <v>3.2</v>
      </c>
      <c r="I6" s="1"/>
      <c r="J6" s="1"/>
      <c r="K6" s="1"/>
      <c r="L6" s="1"/>
      <c r="M6" s="1"/>
      <c r="N6" s="1"/>
      <c r="O6" s="1"/>
      <c r="P6" s="1"/>
    </row>
    <row r="7" spans="1:16">
      <c r="A7" s="85" t="s">
        <v>114</v>
      </c>
      <c r="B7" s="6">
        <v>2</v>
      </c>
      <c r="C7" s="6">
        <v>2</v>
      </c>
      <c r="D7" s="6">
        <f t="shared" si="0"/>
        <v>8</v>
      </c>
      <c r="E7" s="4">
        <f t="shared" si="1"/>
        <v>4</v>
      </c>
      <c r="I7" s="1"/>
      <c r="J7" s="1"/>
      <c r="K7" s="1"/>
      <c r="L7" s="1"/>
      <c r="M7" s="1"/>
      <c r="N7" s="1"/>
      <c r="O7" s="1"/>
      <c r="P7" s="1"/>
    </row>
    <row r="8" spans="1:16">
      <c r="A8" s="85" t="s">
        <v>141</v>
      </c>
      <c r="B8" s="6">
        <v>7.05</v>
      </c>
      <c r="C8" s="6">
        <v>5.32</v>
      </c>
      <c r="D8" s="6">
        <f t="shared" si="0"/>
        <v>24.740000000000002</v>
      </c>
      <c r="E8" s="4">
        <f t="shared" si="1"/>
        <v>37.506</v>
      </c>
      <c r="I8" s="1"/>
      <c r="J8" s="1"/>
      <c r="K8" s="1"/>
      <c r="L8" s="1"/>
      <c r="M8" s="1"/>
      <c r="N8" s="1"/>
      <c r="O8" s="1"/>
      <c r="P8" s="1"/>
    </row>
    <row r="9" spans="1:16">
      <c r="A9" s="85" t="s">
        <v>142</v>
      </c>
      <c r="B9" s="6">
        <v>4.5</v>
      </c>
      <c r="C9" s="6">
        <v>3.3</v>
      </c>
      <c r="D9" s="6">
        <f t="shared" si="0"/>
        <v>15.6</v>
      </c>
      <c r="E9" s="4">
        <f t="shared" si="1"/>
        <v>14.85</v>
      </c>
      <c r="I9" s="1"/>
      <c r="J9" s="1"/>
      <c r="K9" s="1"/>
      <c r="L9" s="1"/>
      <c r="M9" s="1"/>
      <c r="N9" s="1"/>
      <c r="O9" s="1"/>
      <c r="P9" s="1"/>
    </row>
    <row r="10" spans="1:16">
      <c r="A10" s="85" t="s">
        <v>115</v>
      </c>
      <c r="B10" s="6">
        <v>4.55</v>
      </c>
      <c r="C10" s="6">
        <v>3.3</v>
      </c>
      <c r="D10" s="6">
        <f t="shared" si="0"/>
        <v>15.7</v>
      </c>
      <c r="E10" s="4">
        <f t="shared" si="1"/>
        <v>15.014999999999999</v>
      </c>
      <c r="I10" s="1"/>
      <c r="J10" s="1"/>
      <c r="K10" s="1"/>
      <c r="L10" s="1"/>
      <c r="M10" s="1"/>
      <c r="N10" s="1"/>
      <c r="O10" s="1"/>
      <c r="P10" s="1"/>
    </row>
    <row r="11" spans="1:16">
      <c r="A11" s="85" t="s">
        <v>116</v>
      </c>
      <c r="B11" s="6">
        <v>3.9</v>
      </c>
      <c r="C11" s="6">
        <v>2.95</v>
      </c>
      <c r="D11" s="6">
        <f t="shared" si="0"/>
        <v>13.7</v>
      </c>
      <c r="E11" s="4">
        <f t="shared" si="1"/>
        <v>11.505000000000001</v>
      </c>
      <c r="I11" s="1"/>
      <c r="J11" s="1"/>
      <c r="K11" s="1"/>
      <c r="L11" s="1"/>
      <c r="M11" s="1"/>
      <c r="N11" s="1"/>
      <c r="O11" s="1"/>
      <c r="P11" s="1"/>
    </row>
    <row r="12" spans="1:16">
      <c r="A12" s="85" t="s">
        <v>117</v>
      </c>
      <c r="B12" s="6">
        <v>4</v>
      </c>
      <c r="C12" s="6">
        <v>3.55</v>
      </c>
      <c r="D12" s="6">
        <f t="shared" si="0"/>
        <v>15.1</v>
      </c>
      <c r="E12" s="4">
        <f t="shared" si="1"/>
        <v>14.2</v>
      </c>
      <c r="I12" s="1"/>
      <c r="J12" s="1"/>
      <c r="K12" s="1"/>
      <c r="L12" s="1"/>
      <c r="M12" s="1"/>
      <c r="N12" s="1"/>
      <c r="O12" s="1"/>
      <c r="P12" s="1"/>
    </row>
    <row r="13" spans="1:16">
      <c r="A13" s="85" t="s">
        <v>120</v>
      </c>
      <c r="B13" s="6">
        <v>1.8</v>
      </c>
      <c r="C13" s="6">
        <v>2.95</v>
      </c>
      <c r="D13" s="6">
        <f t="shared" si="0"/>
        <v>9.5</v>
      </c>
      <c r="E13" s="4">
        <f t="shared" si="1"/>
        <v>5.3100000000000005</v>
      </c>
      <c r="I13" s="1"/>
      <c r="J13" s="1"/>
      <c r="K13" s="1"/>
      <c r="L13" s="1"/>
      <c r="M13" s="1"/>
      <c r="N13" s="1"/>
      <c r="O13" s="1"/>
      <c r="P13" s="1"/>
    </row>
    <row r="14" spans="1:16">
      <c r="A14" s="85" t="s">
        <v>121</v>
      </c>
      <c r="B14" s="6">
        <v>2.0499999999999998</v>
      </c>
      <c r="C14" s="6">
        <v>2.95</v>
      </c>
      <c r="D14" s="6">
        <f t="shared" si="0"/>
        <v>10</v>
      </c>
      <c r="E14" s="4">
        <f t="shared" si="1"/>
        <v>6.0474999999999994</v>
      </c>
      <c r="I14" s="1"/>
      <c r="J14" s="1"/>
      <c r="K14" s="1"/>
      <c r="L14" s="1"/>
      <c r="M14" s="1"/>
      <c r="N14" s="1"/>
      <c r="O14" s="1"/>
      <c r="P14" s="1"/>
    </row>
    <row r="15" spans="1:16">
      <c r="A15" s="85" t="s">
        <v>118</v>
      </c>
      <c r="B15" s="6">
        <v>3.35</v>
      </c>
      <c r="C15" s="6">
        <v>2.2349999999999999</v>
      </c>
      <c r="D15" s="6">
        <f t="shared" si="0"/>
        <v>11.17</v>
      </c>
      <c r="E15" s="4">
        <f t="shared" si="1"/>
        <v>7.4872499999999995</v>
      </c>
      <c r="I15" s="1"/>
      <c r="J15" s="1"/>
      <c r="K15" s="1"/>
      <c r="L15" s="1"/>
      <c r="M15" s="1"/>
      <c r="N15" s="1"/>
      <c r="O15" s="1"/>
      <c r="P15" s="1"/>
    </row>
    <row r="16" spans="1:16">
      <c r="A16" s="85" t="s">
        <v>119</v>
      </c>
      <c r="B16" s="6">
        <v>3.35</v>
      </c>
      <c r="C16" s="6">
        <v>2.2349999999999999</v>
      </c>
      <c r="D16" s="6">
        <f t="shared" si="0"/>
        <v>11.17</v>
      </c>
      <c r="E16" s="4">
        <f t="shared" si="1"/>
        <v>7.4872499999999995</v>
      </c>
      <c r="I16" s="1"/>
      <c r="J16" s="1"/>
      <c r="K16" s="1"/>
      <c r="L16" s="1"/>
      <c r="M16" s="1"/>
      <c r="N16" s="1"/>
      <c r="O16" s="1"/>
      <c r="P16" s="1"/>
    </row>
    <row r="17" spans="1:16">
      <c r="A17" s="85" t="s">
        <v>123</v>
      </c>
      <c r="B17" s="6">
        <v>3.35</v>
      </c>
      <c r="C17" s="6">
        <v>2.95</v>
      </c>
      <c r="D17" s="6">
        <f t="shared" si="0"/>
        <v>12.600000000000001</v>
      </c>
      <c r="E17" s="4">
        <f t="shared" si="1"/>
        <v>9.8825000000000003</v>
      </c>
      <c r="I17" s="1"/>
      <c r="J17" s="1"/>
      <c r="K17" s="1"/>
      <c r="L17" s="1"/>
      <c r="M17" s="1"/>
      <c r="N17" s="1"/>
      <c r="O17" s="1"/>
      <c r="P17" s="1"/>
    </row>
    <row r="18" spans="1:16">
      <c r="A18" s="85" t="s">
        <v>124</v>
      </c>
      <c r="B18" s="6">
        <v>5.0999999999999996</v>
      </c>
      <c r="C18" s="6">
        <v>4.0199999999999996</v>
      </c>
      <c r="D18" s="6">
        <f t="shared" si="0"/>
        <v>18.239999999999998</v>
      </c>
      <c r="E18" s="4">
        <f t="shared" si="1"/>
        <v>20.501999999999995</v>
      </c>
      <c r="I18" s="1"/>
      <c r="J18" s="1"/>
      <c r="K18" s="1"/>
      <c r="L18" s="1"/>
      <c r="M18" s="1"/>
      <c r="N18" s="1"/>
      <c r="O18" s="1"/>
      <c r="P18" s="1"/>
    </row>
    <row r="19" spans="1:16">
      <c r="A19" s="85" t="s">
        <v>125</v>
      </c>
      <c r="B19" s="6">
        <v>2.5</v>
      </c>
      <c r="C19" s="6">
        <v>4.42</v>
      </c>
      <c r="D19" s="6">
        <f t="shared" si="0"/>
        <v>13.84</v>
      </c>
      <c r="E19" s="4">
        <f t="shared" si="1"/>
        <v>11.05</v>
      </c>
      <c r="I19" s="1"/>
      <c r="J19" s="1"/>
      <c r="K19" s="1"/>
      <c r="L19" s="1"/>
      <c r="M19" s="1"/>
      <c r="N19" s="1"/>
      <c r="O19" s="1"/>
      <c r="P19" s="1"/>
    </row>
    <row r="20" spans="1:16">
      <c r="A20" s="85" t="s">
        <v>126</v>
      </c>
      <c r="B20" s="6">
        <v>2.5</v>
      </c>
      <c r="C20" s="6">
        <v>1.6</v>
      </c>
      <c r="D20" s="6">
        <f t="shared" si="0"/>
        <v>8.1999999999999993</v>
      </c>
      <c r="E20" s="4">
        <f t="shared" si="1"/>
        <v>4</v>
      </c>
      <c r="I20" s="1"/>
      <c r="J20" s="1"/>
      <c r="K20" s="1"/>
      <c r="L20" s="1"/>
      <c r="M20" s="1"/>
      <c r="N20" s="1"/>
      <c r="O20" s="1"/>
      <c r="P20" s="1"/>
    </row>
    <row r="21" spans="1:16">
      <c r="A21" s="85" t="s">
        <v>127</v>
      </c>
      <c r="B21" s="6">
        <v>2.5499999999999998</v>
      </c>
      <c r="C21" s="6">
        <v>4.42</v>
      </c>
      <c r="D21" s="6">
        <f t="shared" si="0"/>
        <v>13.94</v>
      </c>
      <c r="E21" s="4">
        <f t="shared" si="1"/>
        <v>11.270999999999999</v>
      </c>
      <c r="I21" s="1"/>
      <c r="J21" s="1"/>
      <c r="K21" s="1"/>
      <c r="L21" s="1"/>
      <c r="M21" s="1"/>
      <c r="N21" s="1"/>
      <c r="O21" s="1"/>
      <c r="P21" s="1"/>
    </row>
    <row r="22" spans="1:16">
      <c r="A22" s="85" t="s">
        <v>128</v>
      </c>
      <c r="B22" s="6">
        <v>2.5499999999999998</v>
      </c>
      <c r="C22" s="6">
        <v>1.6</v>
      </c>
      <c r="D22" s="6">
        <f t="shared" si="0"/>
        <v>8.3000000000000007</v>
      </c>
      <c r="E22" s="4">
        <f t="shared" si="1"/>
        <v>4.08</v>
      </c>
      <c r="I22" s="1"/>
      <c r="J22" s="1"/>
      <c r="K22" s="1"/>
      <c r="L22" s="1"/>
      <c r="M22" s="1"/>
      <c r="N22" s="1"/>
      <c r="O22" s="1"/>
      <c r="P22" s="1"/>
    </row>
    <row r="23" spans="1:16">
      <c r="A23" s="85" t="s">
        <v>129</v>
      </c>
      <c r="B23" s="9"/>
      <c r="C23" s="9"/>
      <c r="D23" s="6">
        <v>21.4</v>
      </c>
      <c r="E23" s="4">
        <v>22.9</v>
      </c>
      <c r="I23" s="1"/>
      <c r="J23" s="1"/>
      <c r="K23" s="1"/>
      <c r="L23" s="1"/>
      <c r="M23" s="1"/>
      <c r="N23" s="1"/>
      <c r="O23" s="1"/>
      <c r="P23" s="1"/>
    </row>
    <row r="24" spans="1:16">
      <c r="A24" s="85" t="s">
        <v>130</v>
      </c>
      <c r="B24" s="6">
        <v>2.5499999999999998</v>
      </c>
      <c r="C24" s="6">
        <v>4.9000000000000004</v>
      </c>
      <c r="D24" s="6">
        <f t="shared" ref="D24:D25" si="2">2*(B24+C24)</f>
        <v>14.9</v>
      </c>
      <c r="E24" s="4">
        <f t="shared" ref="E24:E25" si="3">B24*C24</f>
        <v>12.494999999999999</v>
      </c>
      <c r="I24" s="1"/>
      <c r="J24" s="1"/>
      <c r="K24" s="1"/>
      <c r="L24" s="1"/>
      <c r="M24" s="1"/>
      <c r="N24" s="1"/>
      <c r="O24" s="1"/>
      <c r="P24" s="1"/>
    </row>
    <row r="25" spans="1:16">
      <c r="A25" s="85" t="s">
        <v>144</v>
      </c>
      <c r="B25" s="6">
        <v>2.5499999999999998</v>
      </c>
      <c r="C25" s="6">
        <v>4.9000000000000004</v>
      </c>
      <c r="D25" s="6">
        <f t="shared" si="2"/>
        <v>14.9</v>
      </c>
      <c r="E25" s="4">
        <f t="shared" si="3"/>
        <v>12.494999999999999</v>
      </c>
      <c r="I25" s="1"/>
      <c r="J25" s="1"/>
      <c r="K25" s="1"/>
      <c r="L25" s="1"/>
      <c r="M25" s="1"/>
      <c r="N25" s="1"/>
      <c r="O25" s="1"/>
      <c r="P25" s="1"/>
    </row>
    <row r="26" spans="1:16">
      <c r="A26" s="85" t="s">
        <v>131</v>
      </c>
      <c r="B26" s="9"/>
      <c r="C26" s="9"/>
      <c r="D26" s="6">
        <v>14.9</v>
      </c>
      <c r="E26" s="4">
        <v>10.93</v>
      </c>
      <c r="I26" s="1"/>
      <c r="J26" s="1"/>
      <c r="K26" s="1"/>
      <c r="L26" s="1"/>
      <c r="M26" s="1"/>
      <c r="N26" s="1"/>
      <c r="O26" s="1"/>
      <c r="P26" s="1"/>
    </row>
    <row r="27" spans="1:16">
      <c r="A27" s="85" t="s">
        <v>132</v>
      </c>
      <c r="B27" s="6">
        <v>2.2999999999999998</v>
      </c>
      <c r="C27" s="6">
        <v>2.2000000000000002</v>
      </c>
      <c r="D27" s="6">
        <f t="shared" ref="D27:D32" si="4">2*(B27+C27)</f>
        <v>9</v>
      </c>
      <c r="E27" s="4">
        <f t="shared" ref="E27:E32" si="5">B27*C27</f>
        <v>5.0599999999999996</v>
      </c>
      <c r="I27" s="1"/>
      <c r="J27" s="1"/>
      <c r="K27" s="1"/>
      <c r="L27" s="1"/>
      <c r="M27" s="1"/>
      <c r="N27" s="1"/>
      <c r="O27" s="1"/>
      <c r="P27" s="1"/>
    </row>
    <row r="28" spans="1:16">
      <c r="A28" s="85" t="s">
        <v>133</v>
      </c>
      <c r="B28" s="6">
        <v>5.15</v>
      </c>
      <c r="C28" s="6">
        <v>2.2000000000000002</v>
      </c>
      <c r="D28" s="6">
        <f t="shared" si="4"/>
        <v>14.700000000000001</v>
      </c>
      <c r="E28" s="4">
        <f t="shared" si="5"/>
        <v>11.330000000000002</v>
      </c>
      <c r="I28" s="1"/>
      <c r="J28" s="1"/>
      <c r="K28" s="1"/>
      <c r="L28" s="1"/>
      <c r="M28" s="1"/>
      <c r="N28" s="1"/>
      <c r="O28" s="1"/>
      <c r="P28" s="1"/>
    </row>
    <row r="29" spans="1:16">
      <c r="A29" s="85" t="s">
        <v>134</v>
      </c>
      <c r="B29" s="6">
        <v>3.45</v>
      </c>
      <c r="C29" s="6">
        <v>3.82</v>
      </c>
      <c r="D29" s="6">
        <f t="shared" si="4"/>
        <v>14.54</v>
      </c>
      <c r="E29" s="4">
        <f t="shared" si="5"/>
        <v>13.179</v>
      </c>
      <c r="I29" s="1"/>
      <c r="J29" s="1"/>
      <c r="K29" s="1"/>
      <c r="L29" s="1"/>
      <c r="M29" s="1"/>
      <c r="N29" s="1"/>
      <c r="O29" s="1"/>
      <c r="P29" s="1"/>
    </row>
    <row r="30" spans="1:16">
      <c r="A30" s="85" t="s">
        <v>135</v>
      </c>
      <c r="B30" s="6">
        <v>4.75</v>
      </c>
      <c r="C30" s="6">
        <v>1.89</v>
      </c>
      <c r="D30" s="6">
        <f t="shared" si="4"/>
        <v>13.28</v>
      </c>
      <c r="E30" s="4">
        <f t="shared" si="5"/>
        <v>8.9774999999999991</v>
      </c>
      <c r="I30" s="1"/>
      <c r="J30" s="1"/>
      <c r="K30" s="1"/>
      <c r="L30" s="1"/>
      <c r="M30" s="1"/>
      <c r="N30" s="1"/>
      <c r="O30" s="1"/>
      <c r="P30" s="1"/>
    </row>
    <row r="31" spans="1:16">
      <c r="A31" s="85" t="s">
        <v>128</v>
      </c>
      <c r="B31" s="6">
        <v>1.8</v>
      </c>
      <c r="C31" s="6">
        <v>1.8</v>
      </c>
      <c r="D31" s="6">
        <f t="shared" si="4"/>
        <v>7.2</v>
      </c>
      <c r="E31" s="4">
        <f t="shared" si="5"/>
        <v>3.24</v>
      </c>
      <c r="I31" s="1"/>
      <c r="J31" s="1"/>
      <c r="K31" s="1"/>
      <c r="L31" s="1"/>
      <c r="M31" s="1"/>
      <c r="N31" s="1"/>
      <c r="O31" s="1"/>
      <c r="P31" s="1"/>
    </row>
    <row r="32" spans="1:16">
      <c r="A32" s="85" t="s">
        <v>136</v>
      </c>
      <c r="B32" s="6">
        <v>1.5</v>
      </c>
      <c r="C32" s="6">
        <v>1.8</v>
      </c>
      <c r="D32" s="6">
        <f t="shared" si="4"/>
        <v>6.6</v>
      </c>
      <c r="E32" s="4">
        <f t="shared" si="5"/>
        <v>2.7</v>
      </c>
      <c r="I32" s="1"/>
      <c r="J32" s="1"/>
      <c r="K32" s="1"/>
      <c r="L32" s="1"/>
      <c r="M32" s="1"/>
      <c r="N32" s="1"/>
      <c r="O32" s="1"/>
      <c r="P32" s="1"/>
    </row>
    <row r="33" spans="1:16">
      <c r="A33" s="85" t="s">
        <v>128</v>
      </c>
      <c r="B33" s="9"/>
      <c r="C33" s="9"/>
      <c r="D33" s="6">
        <v>7.1</v>
      </c>
      <c r="E33" s="4">
        <v>3.18</v>
      </c>
      <c r="I33" s="1"/>
      <c r="J33" s="1"/>
      <c r="K33" s="1"/>
      <c r="L33" s="1"/>
      <c r="M33" s="1"/>
      <c r="N33" s="1"/>
      <c r="O33" s="1"/>
      <c r="P33" s="1"/>
    </row>
    <row r="34" spans="1:16">
      <c r="A34" s="85" t="s">
        <v>134</v>
      </c>
      <c r="B34" s="9"/>
      <c r="C34" s="9"/>
      <c r="D34" s="6">
        <v>15.12</v>
      </c>
      <c r="E34" s="4">
        <v>12.85</v>
      </c>
      <c r="I34" s="1"/>
      <c r="J34" s="1"/>
      <c r="K34" s="1"/>
      <c r="L34" s="1"/>
      <c r="M34" s="1"/>
      <c r="N34" s="1"/>
      <c r="O34" s="1"/>
      <c r="P34" s="1"/>
    </row>
    <row r="35" spans="1:16">
      <c r="A35" s="85" t="s">
        <v>143</v>
      </c>
      <c r="B35" s="9"/>
      <c r="C35" s="9"/>
      <c r="D35" s="6">
        <v>63.03</v>
      </c>
      <c r="E35" s="4">
        <v>175.36</v>
      </c>
      <c r="I35" s="1"/>
      <c r="J35" s="1"/>
      <c r="K35" s="1"/>
      <c r="L35" s="1"/>
      <c r="M35" s="1"/>
      <c r="N35" s="1"/>
      <c r="O35" s="1"/>
      <c r="P35" s="1"/>
    </row>
    <row r="36" spans="1:16">
      <c r="A36" s="85" t="s">
        <v>137</v>
      </c>
      <c r="B36" s="6">
        <v>1.95</v>
      </c>
      <c r="C36" s="6">
        <v>3.23</v>
      </c>
      <c r="D36" s="6">
        <f t="shared" ref="D36:D38" si="6">2*(B36+C36)</f>
        <v>10.36</v>
      </c>
      <c r="E36" s="4">
        <f t="shared" ref="E36:E38" si="7">B36*C36</f>
        <v>6.2984999999999998</v>
      </c>
      <c r="I36" s="1"/>
      <c r="J36" s="1"/>
      <c r="K36" s="1"/>
      <c r="L36" s="1"/>
      <c r="M36" s="1"/>
      <c r="N36" s="1"/>
      <c r="O36" s="1"/>
      <c r="P36" s="1"/>
    </row>
    <row r="37" spans="1:16">
      <c r="A37" s="85" t="s">
        <v>138</v>
      </c>
      <c r="B37" s="6">
        <v>1.95</v>
      </c>
      <c r="C37" s="6">
        <v>2.15</v>
      </c>
      <c r="D37" s="6">
        <f t="shared" si="6"/>
        <v>8.1999999999999993</v>
      </c>
      <c r="E37" s="4">
        <f t="shared" si="7"/>
        <v>4.1924999999999999</v>
      </c>
      <c r="I37" s="1"/>
      <c r="J37" s="1"/>
      <c r="K37" s="1"/>
      <c r="L37" s="1"/>
      <c r="M37" s="1"/>
      <c r="N37" s="1"/>
      <c r="O37" s="1"/>
      <c r="P37" s="1"/>
    </row>
    <row r="38" spans="1:16">
      <c r="A38" s="85" t="s">
        <v>134</v>
      </c>
      <c r="B38" s="6">
        <v>1.95</v>
      </c>
      <c r="C38" s="6">
        <v>1.1000000000000001</v>
      </c>
      <c r="D38" s="6">
        <f t="shared" si="6"/>
        <v>6.1</v>
      </c>
      <c r="E38" s="4">
        <f t="shared" si="7"/>
        <v>2.145</v>
      </c>
      <c r="I38" s="1"/>
      <c r="J38" s="1"/>
      <c r="K38" s="1"/>
      <c r="L38" s="1"/>
      <c r="M38" s="1"/>
      <c r="N38" s="1"/>
      <c r="O38" s="1"/>
      <c r="P38" s="1"/>
    </row>
    <row r="39" spans="1:16">
      <c r="A39" s="85" t="s">
        <v>4</v>
      </c>
      <c r="B39" s="9"/>
      <c r="C39" s="9"/>
      <c r="D39" s="6">
        <v>134.11000000000001</v>
      </c>
      <c r="E39" s="4">
        <v>148.59</v>
      </c>
      <c r="I39" s="1"/>
      <c r="J39" s="1"/>
      <c r="K39" s="1"/>
      <c r="L39" s="1"/>
      <c r="M39" s="1"/>
      <c r="N39" s="1"/>
      <c r="O39" s="1"/>
      <c r="P39" s="1"/>
    </row>
    <row r="40" spans="1:16">
      <c r="A40" s="85" t="s">
        <v>140</v>
      </c>
      <c r="B40" s="6">
        <v>2.35</v>
      </c>
      <c r="C40" s="6">
        <v>3.42</v>
      </c>
      <c r="D40" s="6">
        <f t="shared" ref="D40" si="8">2*(B40+C40)</f>
        <v>11.54</v>
      </c>
      <c r="E40" s="4">
        <f t="shared" ref="E40" si="9">B40*C40</f>
        <v>8.0370000000000008</v>
      </c>
      <c r="I40" s="1"/>
      <c r="J40" s="1"/>
      <c r="K40" s="1"/>
      <c r="L40" s="1"/>
      <c r="M40" s="1"/>
      <c r="N40" s="1"/>
      <c r="O40" s="1"/>
      <c r="P40" s="1"/>
    </row>
    <row r="41" spans="1:16">
      <c r="A41" s="85" t="s">
        <v>145</v>
      </c>
      <c r="B41" s="9"/>
      <c r="C41" s="9"/>
      <c r="D41" s="6">
        <v>45.7</v>
      </c>
      <c r="E41" s="4">
        <v>79.39</v>
      </c>
      <c r="I41" s="1"/>
      <c r="J41" s="1"/>
      <c r="K41" s="1"/>
      <c r="L41" s="1"/>
      <c r="M41" s="1"/>
      <c r="N41" s="1"/>
      <c r="O41" s="1"/>
      <c r="P41" s="1"/>
    </row>
    <row r="42" spans="1:16">
      <c r="A42" s="85" t="s">
        <v>128</v>
      </c>
      <c r="B42" s="6">
        <v>2.35</v>
      </c>
      <c r="C42" s="6">
        <v>1.8</v>
      </c>
      <c r="D42" s="6">
        <f t="shared" ref="D42:D43" si="10">2*(B42+C42)</f>
        <v>8.3000000000000007</v>
      </c>
      <c r="E42" s="4">
        <f t="shared" ref="E42:E43" si="11">B42*C42</f>
        <v>4.2300000000000004</v>
      </c>
      <c r="I42" s="1"/>
      <c r="J42" s="1"/>
      <c r="K42" s="1"/>
      <c r="L42" s="1"/>
      <c r="M42" s="1"/>
      <c r="N42" s="1"/>
      <c r="O42" s="1"/>
      <c r="P42" s="1"/>
    </row>
    <row r="43" spans="1:16">
      <c r="A43" s="85" t="s">
        <v>128</v>
      </c>
      <c r="B43" s="6">
        <v>2.35</v>
      </c>
      <c r="C43" s="6">
        <v>1.8</v>
      </c>
      <c r="D43" s="6">
        <f t="shared" si="10"/>
        <v>8.3000000000000007</v>
      </c>
      <c r="E43" s="4">
        <f t="shared" si="11"/>
        <v>4.2300000000000004</v>
      </c>
      <c r="I43" s="1"/>
      <c r="J43" s="1"/>
      <c r="K43" s="1"/>
      <c r="L43" s="1"/>
      <c r="M43" s="1"/>
      <c r="N43" s="1"/>
      <c r="O43" s="1"/>
      <c r="P43" s="1"/>
    </row>
    <row r="44" spans="1:16">
      <c r="A44" s="85" t="s">
        <v>146</v>
      </c>
      <c r="B44" s="9"/>
      <c r="C44" s="9"/>
      <c r="D44" s="6">
        <v>33.200000000000003</v>
      </c>
      <c r="E44" s="4">
        <v>59.11</v>
      </c>
      <c r="I44" s="1"/>
      <c r="J44" s="1"/>
      <c r="K44" s="1"/>
      <c r="L44" s="1"/>
      <c r="M44" s="1"/>
      <c r="N44" s="1"/>
      <c r="O44" s="1"/>
      <c r="P44" s="1"/>
    </row>
    <row r="45" spans="1:16">
      <c r="A45" s="85" t="s">
        <v>147</v>
      </c>
      <c r="B45" s="6">
        <v>3.45</v>
      </c>
      <c r="C45" s="6">
        <v>2.4500000000000002</v>
      </c>
      <c r="D45" s="6">
        <f t="shared" si="0"/>
        <v>11.8</v>
      </c>
      <c r="E45" s="4">
        <f t="shared" ref="E45:E50" si="12">B45*C45</f>
        <v>8.4525000000000006</v>
      </c>
      <c r="I45" s="1"/>
      <c r="J45" s="1"/>
      <c r="K45" s="1"/>
      <c r="L45" s="1"/>
      <c r="M45" s="1"/>
      <c r="N45" s="1"/>
      <c r="O45" s="1"/>
      <c r="P45" s="1"/>
    </row>
    <row r="46" spans="1:16">
      <c r="A46" s="85" t="s">
        <v>124</v>
      </c>
      <c r="B46" s="6">
        <v>3.45</v>
      </c>
      <c r="C46" s="6">
        <v>3.2</v>
      </c>
      <c r="D46" s="6">
        <f t="shared" si="0"/>
        <v>13.3</v>
      </c>
      <c r="E46" s="4">
        <f t="shared" si="12"/>
        <v>11.040000000000001</v>
      </c>
      <c r="I46" s="1"/>
      <c r="J46" s="1"/>
      <c r="K46" s="1"/>
      <c r="L46" s="1"/>
      <c r="M46" s="1"/>
      <c r="N46" s="1"/>
      <c r="O46" s="1"/>
      <c r="P46" s="1"/>
    </row>
    <row r="47" spans="1:16">
      <c r="A47" s="85" t="s">
        <v>148</v>
      </c>
      <c r="B47" s="6">
        <v>4.55</v>
      </c>
      <c r="C47" s="6">
        <v>2.35</v>
      </c>
      <c r="D47" s="6">
        <f t="shared" si="0"/>
        <v>13.8</v>
      </c>
      <c r="E47" s="4">
        <f t="shared" si="12"/>
        <v>10.692500000000001</v>
      </c>
      <c r="I47" s="1"/>
      <c r="J47" s="1"/>
      <c r="K47" s="1"/>
      <c r="L47" s="1"/>
      <c r="M47" s="1"/>
      <c r="N47" s="1"/>
      <c r="O47" s="1"/>
      <c r="P47" s="1"/>
    </row>
    <row r="48" spans="1:16">
      <c r="A48" s="85" t="s">
        <v>149</v>
      </c>
      <c r="B48" s="6">
        <v>3.78</v>
      </c>
      <c r="C48" s="6">
        <v>4.45</v>
      </c>
      <c r="D48" s="6">
        <f t="shared" si="0"/>
        <v>16.46</v>
      </c>
      <c r="E48" s="4">
        <f t="shared" si="12"/>
        <v>16.821000000000002</v>
      </c>
      <c r="I48" s="1"/>
      <c r="J48" s="1"/>
      <c r="K48" s="1"/>
      <c r="L48" s="1"/>
      <c r="M48" s="1"/>
      <c r="N48" s="1"/>
      <c r="O48" s="1"/>
      <c r="P48" s="1"/>
    </row>
    <row r="49" spans="1:16">
      <c r="A49" s="85" t="s">
        <v>151</v>
      </c>
      <c r="B49" s="6">
        <v>2.17</v>
      </c>
      <c r="C49" s="6">
        <v>12.7</v>
      </c>
      <c r="D49" s="6">
        <f t="shared" si="0"/>
        <v>29.74</v>
      </c>
      <c r="E49" s="4">
        <f t="shared" si="12"/>
        <v>27.558999999999997</v>
      </c>
      <c r="I49" s="1"/>
      <c r="J49" s="1"/>
      <c r="K49" s="1"/>
      <c r="L49" s="1"/>
      <c r="M49" s="1"/>
      <c r="N49" s="1"/>
      <c r="O49" s="1"/>
      <c r="P49" s="1"/>
    </row>
    <row r="50" spans="1:16">
      <c r="A50" s="85" t="s">
        <v>153</v>
      </c>
      <c r="B50" s="6">
        <v>2.0499999999999998</v>
      </c>
      <c r="C50" s="6">
        <v>12.7</v>
      </c>
      <c r="D50" s="6">
        <f t="shared" si="0"/>
        <v>29.5</v>
      </c>
      <c r="E50" s="4">
        <f t="shared" si="12"/>
        <v>26.034999999999997</v>
      </c>
      <c r="I50" s="1"/>
      <c r="J50" s="1"/>
      <c r="K50" s="1"/>
      <c r="L50" s="1"/>
      <c r="M50" s="1"/>
      <c r="N50" s="1"/>
      <c r="O50" s="1"/>
      <c r="P50" s="1"/>
    </row>
    <row r="52" spans="1:16">
      <c r="A52" s="85" t="s">
        <v>83</v>
      </c>
      <c r="B52" s="155">
        <f>SUM(E3:E50)</f>
        <v>957.15299999999991</v>
      </c>
      <c r="C52" s="156"/>
    </row>
    <row r="53" spans="1:16">
      <c r="A53" s="5" t="s">
        <v>391</v>
      </c>
    </row>
  </sheetData>
  <mergeCells count="2">
    <mergeCell ref="B52:C52"/>
    <mergeCell ref="A1:E1"/>
  </mergeCells>
  <pageMargins left="0.51181102362204722" right="0.51181102362204722" top="0.78740157480314965" bottom="0.78740157480314965" header="0.31496062992125984" footer="0.31496062992125984"/>
  <pageSetup paperSize="9" scale="62" orientation="landscape" r:id="rId1"/>
  <rowBreaks count="1" manualBreakCount="1">
    <brk id="52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Plan25">
    <tabColor rgb="FF00FF00"/>
  </sheetPr>
  <dimension ref="A1:P36"/>
  <sheetViews>
    <sheetView view="pageBreakPreview" zoomScale="60" zoomScaleNormal="85" workbookViewId="0">
      <pane ySplit="2" topLeftCell="A3" activePane="bottomLeft" state="frozenSplit"/>
      <selection pane="bottomLeft" activeCell="A36" sqref="A36:XFD36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400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70" t="s">
        <v>111</v>
      </c>
      <c r="B3" s="9"/>
      <c r="C3" s="9"/>
      <c r="D3" s="6">
        <v>32.799999999999997</v>
      </c>
      <c r="E3" s="4">
        <v>51.4</v>
      </c>
      <c r="I3" s="1"/>
      <c r="J3" s="1"/>
      <c r="K3" s="1"/>
      <c r="L3" s="1"/>
      <c r="M3" s="1"/>
      <c r="N3" s="1"/>
      <c r="O3" s="1"/>
      <c r="P3" s="1"/>
    </row>
    <row r="4" spans="1:16">
      <c r="A4" s="70" t="s">
        <v>112</v>
      </c>
      <c r="B4" s="6">
        <v>2</v>
      </c>
      <c r="C4" s="6">
        <v>2</v>
      </c>
      <c r="D4" s="6">
        <f t="shared" ref="D4:D33" si="0">2*(B4+C4)</f>
        <v>8</v>
      </c>
      <c r="E4" s="4">
        <f t="shared" ref="E4:E16" si="1">B4*C4</f>
        <v>4</v>
      </c>
      <c r="I4" s="1"/>
      <c r="J4" s="1"/>
      <c r="M4" s="1"/>
      <c r="N4" s="1"/>
    </row>
    <row r="5" spans="1:16">
      <c r="A5" s="70" t="s">
        <v>113</v>
      </c>
      <c r="B5" s="6">
        <v>2</v>
      </c>
      <c r="C5" s="6">
        <v>1.6</v>
      </c>
      <c r="D5" s="6">
        <f t="shared" si="0"/>
        <v>7.2</v>
      </c>
      <c r="E5" s="4">
        <f t="shared" si="1"/>
        <v>3.2</v>
      </c>
      <c r="I5" s="1"/>
      <c r="J5" s="1"/>
      <c r="K5" s="1"/>
      <c r="L5" s="1"/>
      <c r="M5" s="1"/>
      <c r="N5" s="1"/>
      <c r="O5" s="1"/>
      <c r="P5" s="1"/>
    </row>
    <row r="6" spans="1:16">
      <c r="A6" s="70" t="s">
        <v>141</v>
      </c>
      <c r="B6" s="6">
        <v>7.05</v>
      </c>
      <c r="C6" s="6">
        <v>5.32</v>
      </c>
      <c r="D6" s="6">
        <f t="shared" si="0"/>
        <v>24.740000000000002</v>
      </c>
      <c r="E6" s="4">
        <f t="shared" si="1"/>
        <v>37.506</v>
      </c>
      <c r="I6" s="1"/>
      <c r="J6" s="1"/>
      <c r="K6" s="1"/>
      <c r="L6" s="1"/>
      <c r="M6" s="1"/>
      <c r="N6" s="1"/>
      <c r="O6" s="1"/>
      <c r="P6" s="1"/>
    </row>
    <row r="7" spans="1:16">
      <c r="A7" s="70" t="s">
        <v>142</v>
      </c>
      <c r="B7" s="6">
        <v>4.5</v>
      </c>
      <c r="C7" s="6">
        <v>3.3</v>
      </c>
      <c r="D7" s="6">
        <f t="shared" si="0"/>
        <v>15.6</v>
      </c>
      <c r="E7" s="4">
        <f t="shared" si="1"/>
        <v>14.85</v>
      </c>
      <c r="I7" s="1"/>
      <c r="J7" s="1"/>
      <c r="K7" s="1"/>
      <c r="L7" s="1"/>
      <c r="M7" s="1"/>
      <c r="N7" s="1"/>
      <c r="O7" s="1"/>
      <c r="P7" s="1"/>
    </row>
    <row r="8" spans="1:16">
      <c r="A8" s="70" t="s">
        <v>115</v>
      </c>
      <c r="B8" s="6">
        <v>4.55</v>
      </c>
      <c r="C8" s="6">
        <v>3.3</v>
      </c>
      <c r="D8" s="6">
        <f t="shared" si="0"/>
        <v>15.7</v>
      </c>
      <c r="E8" s="4">
        <f t="shared" si="1"/>
        <v>15.014999999999999</v>
      </c>
      <c r="I8" s="1"/>
      <c r="J8" s="1"/>
      <c r="K8" s="1"/>
      <c r="L8" s="1"/>
      <c r="M8" s="1"/>
      <c r="N8" s="1"/>
      <c r="O8" s="1"/>
      <c r="P8" s="1"/>
    </row>
    <row r="9" spans="1:16">
      <c r="A9" s="70" t="s">
        <v>116</v>
      </c>
      <c r="B9" s="6">
        <v>3.9</v>
      </c>
      <c r="C9" s="6">
        <v>2.95</v>
      </c>
      <c r="D9" s="6">
        <f t="shared" si="0"/>
        <v>13.7</v>
      </c>
      <c r="E9" s="4">
        <f t="shared" si="1"/>
        <v>11.505000000000001</v>
      </c>
      <c r="I9" s="1"/>
      <c r="J9" s="1"/>
      <c r="K9" s="1"/>
      <c r="L9" s="1"/>
      <c r="M9" s="1"/>
      <c r="N9" s="1"/>
      <c r="O9" s="1"/>
      <c r="P9" s="1"/>
    </row>
    <row r="10" spans="1:16">
      <c r="A10" s="70" t="s">
        <v>117</v>
      </c>
      <c r="B10" s="6">
        <v>4</v>
      </c>
      <c r="C10" s="6">
        <v>3.55</v>
      </c>
      <c r="D10" s="6">
        <f t="shared" si="0"/>
        <v>15.1</v>
      </c>
      <c r="E10" s="4">
        <f t="shared" si="1"/>
        <v>14.2</v>
      </c>
      <c r="I10" s="1"/>
      <c r="J10" s="1"/>
      <c r="K10" s="1"/>
      <c r="L10" s="1"/>
      <c r="M10" s="1"/>
      <c r="N10" s="1"/>
      <c r="O10" s="1"/>
      <c r="P10" s="1"/>
    </row>
    <row r="11" spans="1:16">
      <c r="A11" s="70" t="s">
        <v>120</v>
      </c>
      <c r="B11" s="6">
        <v>1.8</v>
      </c>
      <c r="C11" s="6">
        <v>2.95</v>
      </c>
      <c r="D11" s="6">
        <f t="shared" si="0"/>
        <v>9.5</v>
      </c>
      <c r="E11" s="4">
        <f t="shared" si="1"/>
        <v>5.3100000000000005</v>
      </c>
      <c r="I11" s="1"/>
      <c r="J11" s="1"/>
      <c r="K11" s="1"/>
      <c r="L11" s="1"/>
      <c r="M11" s="1"/>
      <c r="N11" s="1"/>
      <c r="O11" s="1"/>
      <c r="P11" s="1"/>
    </row>
    <row r="12" spans="1:16">
      <c r="A12" s="70" t="s">
        <v>121</v>
      </c>
      <c r="B12" s="6">
        <v>2.0499999999999998</v>
      </c>
      <c r="C12" s="6">
        <v>2.95</v>
      </c>
      <c r="D12" s="6">
        <f t="shared" si="0"/>
        <v>10</v>
      </c>
      <c r="E12" s="4">
        <f t="shared" si="1"/>
        <v>6.0474999999999994</v>
      </c>
      <c r="I12" s="1"/>
      <c r="J12" s="1"/>
      <c r="K12" s="1"/>
      <c r="L12" s="1"/>
      <c r="M12" s="1"/>
      <c r="N12" s="1"/>
      <c r="O12" s="1"/>
      <c r="P12" s="1"/>
    </row>
    <row r="13" spans="1:16">
      <c r="A13" s="70" t="s">
        <v>123</v>
      </c>
      <c r="B13" s="6">
        <v>3.35</v>
      </c>
      <c r="C13" s="6">
        <v>2.95</v>
      </c>
      <c r="D13" s="6">
        <f t="shared" si="0"/>
        <v>12.600000000000001</v>
      </c>
      <c r="E13" s="4">
        <f t="shared" si="1"/>
        <v>9.8825000000000003</v>
      </c>
      <c r="I13" s="1"/>
      <c r="J13" s="1"/>
      <c r="K13" s="1"/>
      <c r="L13" s="1"/>
      <c r="M13" s="1"/>
      <c r="N13" s="1"/>
      <c r="O13" s="1"/>
      <c r="P13" s="1"/>
    </row>
    <row r="14" spans="1:16">
      <c r="A14" s="70" t="s">
        <v>124</v>
      </c>
      <c r="B14" s="6">
        <v>5.0999999999999996</v>
      </c>
      <c r="C14" s="6">
        <v>4.0199999999999996</v>
      </c>
      <c r="D14" s="6">
        <f t="shared" si="0"/>
        <v>18.239999999999998</v>
      </c>
      <c r="E14" s="4">
        <f t="shared" si="1"/>
        <v>20.501999999999995</v>
      </c>
      <c r="I14" s="1"/>
      <c r="J14" s="1"/>
      <c r="K14" s="1"/>
      <c r="L14" s="1"/>
      <c r="M14" s="1"/>
      <c r="N14" s="1"/>
      <c r="O14" s="1"/>
      <c r="P14" s="1"/>
    </row>
    <row r="15" spans="1:16">
      <c r="A15" s="70" t="s">
        <v>125</v>
      </c>
      <c r="B15" s="6">
        <v>2.5</v>
      </c>
      <c r="C15" s="6">
        <v>4.42</v>
      </c>
      <c r="D15" s="6">
        <f t="shared" si="0"/>
        <v>13.84</v>
      </c>
      <c r="E15" s="4">
        <f t="shared" si="1"/>
        <v>11.05</v>
      </c>
      <c r="I15" s="1"/>
      <c r="J15" s="1"/>
      <c r="K15" s="1"/>
      <c r="L15" s="1"/>
      <c r="M15" s="1"/>
      <c r="N15" s="1"/>
      <c r="O15" s="1"/>
      <c r="P15" s="1"/>
    </row>
    <row r="16" spans="1:16">
      <c r="A16" s="70" t="s">
        <v>127</v>
      </c>
      <c r="B16" s="6">
        <v>2.5499999999999998</v>
      </c>
      <c r="C16" s="6">
        <v>4.42</v>
      </c>
      <c r="D16" s="6">
        <f t="shared" si="0"/>
        <v>13.94</v>
      </c>
      <c r="E16" s="4">
        <f t="shared" si="1"/>
        <v>11.270999999999999</v>
      </c>
      <c r="I16" s="1"/>
      <c r="J16" s="1"/>
      <c r="K16" s="1"/>
      <c r="L16" s="1"/>
      <c r="M16" s="1"/>
      <c r="N16" s="1"/>
      <c r="O16" s="1"/>
      <c r="P16" s="1"/>
    </row>
    <row r="17" spans="1:16">
      <c r="A17" s="70" t="s">
        <v>129</v>
      </c>
      <c r="B17" s="9"/>
      <c r="C17" s="9"/>
      <c r="D17" s="6">
        <v>21.4</v>
      </c>
      <c r="E17" s="4">
        <v>22.9</v>
      </c>
      <c r="I17" s="1"/>
      <c r="J17" s="1"/>
      <c r="K17" s="1"/>
      <c r="L17" s="1"/>
      <c r="M17" s="1"/>
      <c r="N17" s="1"/>
      <c r="O17" s="1"/>
      <c r="P17" s="1"/>
    </row>
    <row r="18" spans="1:16">
      <c r="A18" s="70" t="s">
        <v>130</v>
      </c>
      <c r="B18" s="6">
        <v>2.5499999999999998</v>
      </c>
      <c r="C18" s="6">
        <v>4.9000000000000004</v>
      </c>
      <c r="D18" s="6">
        <f t="shared" ref="D18:D19" si="2">2*(B18+C18)</f>
        <v>14.9</v>
      </c>
      <c r="E18" s="4">
        <f t="shared" ref="E18:E19" si="3">B18*C18</f>
        <v>12.494999999999999</v>
      </c>
      <c r="I18" s="1"/>
      <c r="J18" s="1"/>
      <c r="K18" s="1"/>
      <c r="L18" s="1"/>
      <c r="M18" s="1"/>
      <c r="N18" s="1"/>
      <c r="O18" s="1"/>
      <c r="P18" s="1"/>
    </row>
    <row r="19" spans="1:16">
      <c r="A19" s="70" t="s">
        <v>144</v>
      </c>
      <c r="B19" s="6">
        <v>2.5499999999999998</v>
      </c>
      <c r="C19" s="6">
        <v>4.9000000000000004</v>
      </c>
      <c r="D19" s="6">
        <f t="shared" si="2"/>
        <v>14.9</v>
      </c>
      <c r="E19" s="4">
        <f t="shared" si="3"/>
        <v>12.494999999999999</v>
      </c>
      <c r="I19" s="1"/>
      <c r="J19" s="1"/>
      <c r="K19" s="1"/>
      <c r="L19" s="1"/>
      <c r="M19" s="1"/>
      <c r="N19" s="1"/>
      <c r="O19" s="1"/>
      <c r="P19" s="1"/>
    </row>
    <row r="20" spans="1:16">
      <c r="A20" s="70" t="s">
        <v>131</v>
      </c>
      <c r="B20" s="9"/>
      <c r="C20" s="9"/>
      <c r="D20" s="6">
        <v>14.9</v>
      </c>
      <c r="E20" s="4">
        <v>10.93</v>
      </c>
      <c r="I20" s="1"/>
      <c r="J20" s="1"/>
      <c r="K20" s="1"/>
      <c r="L20" s="1"/>
      <c r="M20" s="1"/>
      <c r="N20" s="1"/>
      <c r="O20" s="1"/>
      <c r="P20" s="1"/>
    </row>
    <row r="21" spans="1:16">
      <c r="A21" s="70" t="s">
        <v>132</v>
      </c>
      <c r="B21" s="6">
        <v>2.2999999999999998</v>
      </c>
      <c r="C21" s="6">
        <v>2.2000000000000002</v>
      </c>
      <c r="D21" s="6">
        <f t="shared" ref="D21:D23" si="4">2*(B21+C21)</f>
        <v>9</v>
      </c>
      <c r="E21" s="4">
        <f t="shared" ref="E21:E23" si="5">B21*C21</f>
        <v>5.0599999999999996</v>
      </c>
      <c r="I21" s="1"/>
      <c r="J21" s="1"/>
      <c r="K21" s="1"/>
      <c r="L21" s="1"/>
      <c r="M21" s="1"/>
      <c r="N21" s="1"/>
      <c r="O21" s="1"/>
      <c r="P21" s="1"/>
    </row>
    <row r="22" spans="1:16">
      <c r="A22" s="70" t="s">
        <v>133</v>
      </c>
      <c r="B22" s="6">
        <v>5.15</v>
      </c>
      <c r="C22" s="6">
        <v>2.2000000000000002</v>
      </c>
      <c r="D22" s="6">
        <f t="shared" si="4"/>
        <v>14.700000000000001</v>
      </c>
      <c r="E22" s="4">
        <f t="shared" si="5"/>
        <v>11.330000000000002</v>
      </c>
      <c r="I22" s="1"/>
      <c r="J22" s="1"/>
      <c r="K22" s="1"/>
      <c r="L22" s="1"/>
      <c r="M22" s="1"/>
      <c r="N22" s="1"/>
      <c r="O22" s="1"/>
      <c r="P22" s="1"/>
    </row>
    <row r="23" spans="1:16">
      <c r="A23" s="70" t="s">
        <v>135</v>
      </c>
      <c r="B23" s="6">
        <v>4.75</v>
      </c>
      <c r="C23" s="6">
        <v>1.89</v>
      </c>
      <c r="D23" s="6">
        <f t="shared" si="4"/>
        <v>13.28</v>
      </c>
      <c r="E23" s="4">
        <f t="shared" si="5"/>
        <v>8.9774999999999991</v>
      </c>
      <c r="I23" s="1"/>
      <c r="J23" s="1"/>
      <c r="K23" s="1"/>
      <c r="L23" s="1"/>
      <c r="M23" s="1"/>
      <c r="N23" s="1"/>
      <c r="O23" s="1"/>
      <c r="P23" s="1"/>
    </row>
    <row r="24" spans="1:16">
      <c r="A24" s="70" t="s">
        <v>143</v>
      </c>
      <c r="B24" s="9"/>
      <c r="C24" s="9"/>
      <c r="D24" s="6">
        <v>63.03</v>
      </c>
      <c r="E24" s="4">
        <v>175.36</v>
      </c>
      <c r="I24" s="1"/>
      <c r="J24" s="1"/>
      <c r="K24" s="1"/>
      <c r="L24" s="1"/>
      <c r="M24" s="1"/>
      <c r="N24" s="1"/>
      <c r="O24" s="1"/>
      <c r="P24" s="1"/>
    </row>
    <row r="25" spans="1:16">
      <c r="A25" s="70" t="s">
        <v>137</v>
      </c>
      <c r="B25" s="6">
        <v>1.95</v>
      </c>
      <c r="C25" s="6">
        <v>3.23</v>
      </c>
      <c r="D25" s="6">
        <f t="shared" ref="D25:D26" si="6">2*(B25+C25)</f>
        <v>10.36</v>
      </c>
      <c r="E25" s="4">
        <f t="shared" ref="E25:E26" si="7">B25*C25</f>
        <v>6.2984999999999998</v>
      </c>
      <c r="I25" s="1"/>
      <c r="J25" s="1"/>
      <c r="K25" s="1"/>
      <c r="L25" s="1"/>
      <c r="M25" s="1"/>
      <c r="N25" s="1"/>
      <c r="O25" s="1"/>
      <c r="P25" s="1"/>
    </row>
    <row r="26" spans="1:16">
      <c r="A26" s="70" t="s">
        <v>138</v>
      </c>
      <c r="B26" s="6">
        <v>1.95</v>
      </c>
      <c r="C26" s="6">
        <v>2.15</v>
      </c>
      <c r="D26" s="6">
        <f t="shared" si="6"/>
        <v>8.1999999999999993</v>
      </c>
      <c r="E26" s="4">
        <f t="shared" si="7"/>
        <v>4.1924999999999999</v>
      </c>
      <c r="I26" s="1"/>
      <c r="J26" s="1"/>
      <c r="K26" s="1"/>
      <c r="L26" s="1"/>
      <c r="M26" s="1"/>
      <c r="N26" s="1"/>
      <c r="O26" s="1"/>
      <c r="P26" s="1"/>
    </row>
    <row r="27" spans="1:16">
      <c r="A27" s="70" t="s">
        <v>4</v>
      </c>
      <c r="B27" s="9"/>
      <c r="C27" s="9"/>
      <c r="D27" s="6">
        <v>134.11000000000001</v>
      </c>
      <c r="E27" s="4">
        <v>148.59</v>
      </c>
      <c r="I27" s="1"/>
      <c r="J27" s="1"/>
      <c r="K27" s="1"/>
      <c r="L27" s="1"/>
      <c r="M27" s="1"/>
      <c r="N27" s="1"/>
      <c r="O27" s="1"/>
      <c r="P27" s="1"/>
    </row>
    <row r="28" spans="1:16">
      <c r="A28" s="70" t="s">
        <v>140</v>
      </c>
      <c r="B28" s="6">
        <v>2.35</v>
      </c>
      <c r="C28" s="6">
        <v>3.42</v>
      </c>
      <c r="D28" s="6">
        <f t="shared" ref="D28" si="8">2*(B28+C28)</f>
        <v>11.54</v>
      </c>
      <c r="E28" s="4">
        <f t="shared" ref="E28" si="9">B28*C28</f>
        <v>8.0370000000000008</v>
      </c>
      <c r="I28" s="1"/>
      <c r="J28" s="1"/>
      <c r="K28" s="1"/>
      <c r="L28" s="1"/>
      <c r="M28" s="1"/>
      <c r="N28" s="1"/>
      <c r="O28" s="1"/>
      <c r="P28" s="1"/>
    </row>
    <row r="29" spans="1:16">
      <c r="A29" s="70" t="s">
        <v>145</v>
      </c>
      <c r="B29" s="9"/>
      <c r="C29" s="9"/>
      <c r="D29" s="6">
        <v>45.7</v>
      </c>
      <c r="E29" s="4">
        <v>79.39</v>
      </c>
      <c r="I29" s="1"/>
      <c r="J29" s="1"/>
      <c r="K29" s="1"/>
      <c r="L29" s="1"/>
      <c r="M29" s="1"/>
      <c r="N29" s="1"/>
      <c r="O29" s="1"/>
      <c r="P29" s="1"/>
    </row>
    <row r="30" spans="1:16">
      <c r="A30" s="70" t="s">
        <v>146</v>
      </c>
      <c r="B30" s="9"/>
      <c r="C30" s="9"/>
      <c r="D30" s="6">
        <v>33.200000000000003</v>
      </c>
      <c r="E30" s="4">
        <v>59.11</v>
      </c>
      <c r="I30" s="1"/>
      <c r="J30" s="1"/>
      <c r="K30" s="1"/>
      <c r="L30" s="1"/>
      <c r="M30" s="1"/>
      <c r="N30" s="1"/>
      <c r="O30" s="1"/>
      <c r="P30" s="1"/>
    </row>
    <row r="31" spans="1:16">
      <c r="A31" s="70" t="s">
        <v>124</v>
      </c>
      <c r="B31" s="6">
        <v>3.45</v>
      </c>
      <c r="C31" s="6">
        <v>3.2</v>
      </c>
      <c r="D31" s="6">
        <f t="shared" si="0"/>
        <v>13.3</v>
      </c>
      <c r="E31" s="4">
        <f t="shared" ref="E31:E33" si="10">B31*C31</f>
        <v>11.040000000000001</v>
      </c>
      <c r="I31" s="1"/>
      <c r="J31" s="1"/>
      <c r="K31" s="1"/>
      <c r="L31" s="1"/>
      <c r="M31" s="1"/>
      <c r="N31" s="1"/>
      <c r="O31" s="1"/>
      <c r="P31" s="1"/>
    </row>
    <row r="32" spans="1:16">
      <c r="A32" s="70" t="s">
        <v>148</v>
      </c>
      <c r="B32" s="6">
        <v>4.55</v>
      </c>
      <c r="C32" s="6">
        <v>2.35</v>
      </c>
      <c r="D32" s="6">
        <f t="shared" si="0"/>
        <v>13.8</v>
      </c>
      <c r="E32" s="4">
        <f t="shared" si="10"/>
        <v>10.692500000000001</v>
      </c>
      <c r="I32" s="1"/>
      <c r="J32" s="1"/>
      <c r="K32" s="1"/>
      <c r="L32" s="1"/>
      <c r="M32" s="1"/>
      <c r="N32" s="1"/>
      <c r="O32" s="1"/>
      <c r="P32" s="1"/>
    </row>
    <row r="33" spans="1:16">
      <c r="A33" s="70" t="s">
        <v>149</v>
      </c>
      <c r="B33" s="6">
        <v>3.78</v>
      </c>
      <c r="C33" s="6">
        <v>4.45</v>
      </c>
      <c r="D33" s="6">
        <f t="shared" si="0"/>
        <v>16.46</v>
      </c>
      <c r="E33" s="4">
        <f t="shared" si="10"/>
        <v>16.821000000000002</v>
      </c>
      <c r="I33" s="1"/>
      <c r="J33" s="1"/>
      <c r="K33" s="1"/>
      <c r="L33" s="1"/>
      <c r="M33" s="1"/>
      <c r="N33" s="1"/>
      <c r="O33" s="1"/>
      <c r="P33" s="1"/>
    </row>
    <row r="35" spans="1:16">
      <c r="A35" s="70" t="s">
        <v>83</v>
      </c>
      <c r="B35" s="155">
        <f>SUM(E3:E33)</f>
        <v>819.45800000000008</v>
      </c>
      <c r="C35" s="156"/>
    </row>
    <row r="36" spans="1:16" hidden="1">
      <c r="A36" s="5" t="s">
        <v>401</v>
      </c>
    </row>
  </sheetData>
  <mergeCells count="2">
    <mergeCell ref="B35:C35"/>
    <mergeCell ref="A1:E1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Plan26">
    <tabColor rgb="FF00FF00"/>
  </sheetPr>
  <dimension ref="A1:P22"/>
  <sheetViews>
    <sheetView zoomScale="85" zoomScaleNormal="85" workbookViewId="0">
      <pane ySplit="2" topLeftCell="A3" activePane="bottomLeft" state="frozenSplit"/>
      <selection pane="bottomLeft" activeCell="A22" sqref="A22:XFD22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402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70" t="s">
        <v>5</v>
      </c>
      <c r="B3" s="6">
        <v>2</v>
      </c>
      <c r="C3" s="6">
        <v>1.42</v>
      </c>
      <c r="D3" s="6">
        <f t="shared" ref="D3:D19" si="0">2*(B3+C3)</f>
        <v>6.84</v>
      </c>
      <c r="E3" s="4">
        <f t="shared" ref="E3:E8" si="1">B3*C3</f>
        <v>2.84</v>
      </c>
      <c r="I3" s="1"/>
      <c r="J3" s="1"/>
      <c r="K3" s="1"/>
      <c r="L3" s="1"/>
      <c r="M3" s="1"/>
      <c r="N3" s="1"/>
      <c r="O3" s="1"/>
      <c r="P3" s="1"/>
    </row>
    <row r="4" spans="1:16">
      <c r="A4" s="70" t="s">
        <v>114</v>
      </c>
      <c r="B4" s="6">
        <v>2</v>
      </c>
      <c r="C4" s="6">
        <v>2</v>
      </c>
      <c r="D4" s="6">
        <f t="shared" si="0"/>
        <v>8</v>
      </c>
      <c r="E4" s="4">
        <f t="shared" si="1"/>
        <v>4</v>
      </c>
      <c r="I4" s="1"/>
      <c r="J4" s="1"/>
      <c r="K4" s="1"/>
      <c r="L4" s="1"/>
      <c r="M4" s="1"/>
      <c r="N4" s="1"/>
      <c r="O4" s="1"/>
      <c r="P4" s="1"/>
    </row>
    <row r="5" spans="1:16">
      <c r="A5" s="70" t="s">
        <v>118</v>
      </c>
      <c r="B5" s="6">
        <v>3.35</v>
      </c>
      <c r="C5" s="6">
        <v>2.2349999999999999</v>
      </c>
      <c r="D5" s="6">
        <f t="shared" si="0"/>
        <v>11.17</v>
      </c>
      <c r="E5" s="4">
        <f t="shared" si="1"/>
        <v>7.4872499999999995</v>
      </c>
      <c r="I5" s="1"/>
      <c r="J5" s="1"/>
      <c r="K5" s="1"/>
      <c r="L5" s="1"/>
      <c r="M5" s="1"/>
      <c r="N5" s="1"/>
      <c r="O5" s="1"/>
      <c r="P5" s="1"/>
    </row>
    <row r="6" spans="1:16">
      <c r="A6" s="70" t="s">
        <v>119</v>
      </c>
      <c r="B6" s="6">
        <v>3.35</v>
      </c>
      <c r="C6" s="6">
        <v>2.2349999999999999</v>
      </c>
      <c r="D6" s="6">
        <f t="shared" si="0"/>
        <v>11.17</v>
      </c>
      <c r="E6" s="4">
        <f t="shared" si="1"/>
        <v>7.4872499999999995</v>
      </c>
      <c r="I6" s="1"/>
      <c r="J6" s="1"/>
      <c r="K6" s="1"/>
      <c r="L6" s="1"/>
      <c r="M6" s="1"/>
      <c r="N6" s="1"/>
      <c r="O6" s="1"/>
      <c r="P6" s="1"/>
    </row>
    <row r="7" spans="1:16">
      <c r="A7" s="70" t="s">
        <v>126</v>
      </c>
      <c r="B7" s="6">
        <v>2.5</v>
      </c>
      <c r="C7" s="6">
        <v>1.6</v>
      </c>
      <c r="D7" s="6">
        <f t="shared" si="0"/>
        <v>8.1999999999999993</v>
      </c>
      <c r="E7" s="4">
        <f t="shared" si="1"/>
        <v>4</v>
      </c>
      <c r="I7" s="1"/>
      <c r="J7" s="1"/>
      <c r="K7" s="1"/>
      <c r="L7" s="1"/>
      <c r="M7" s="1"/>
      <c r="N7" s="1"/>
      <c r="O7" s="1"/>
      <c r="P7" s="1"/>
    </row>
    <row r="8" spans="1:16">
      <c r="A8" s="70" t="s">
        <v>128</v>
      </c>
      <c r="B8" s="6">
        <v>2.5499999999999998</v>
      </c>
      <c r="C8" s="6">
        <v>1.6</v>
      </c>
      <c r="D8" s="6">
        <f t="shared" si="0"/>
        <v>8.3000000000000007</v>
      </c>
      <c r="E8" s="4">
        <f t="shared" si="1"/>
        <v>4.08</v>
      </c>
      <c r="I8" s="1"/>
      <c r="J8" s="1"/>
      <c r="K8" s="1"/>
      <c r="L8" s="1"/>
      <c r="M8" s="1"/>
      <c r="N8" s="1"/>
      <c r="O8" s="1"/>
      <c r="P8" s="1"/>
    </row>
    <row r="9" spans="1:16">
      <c r="A9" s="70" t="s">
        <v>134</v>
      </c>
      <c r="B9" s="6">
        <v>3.45</v>
      </c>
      <c r="C9" s="6">
        <v>3.82</v>
      </c>
      <c r="D9" s="6">
        <f t="shared" ref="D9:D11" si="2">2*(B9+C9)</f>
        <v>14.54</v>
      </c>
      <c r="E9" s="4">
        <f t="shared" ref="E9:E11" si="3">B9*C9</f>
        <v>13.179</v>
      </c>
      <c r="I9" s="1"/>
      <c r="J9" s="1"/>
      <c r="K9" s="1"/>
      <c r="L9" s="1"/>
      <c r="M9" s="1"/>
      <c r="N9" s="1"/>
      <c r="O9" s="1"/>
      <c r="P9" s="1"/>
    </row>
    <row r="10" spans="1:16">
      <c r="A10" s="70" t="s">
        <v>128</v>
      </c>
      <c r="B10" s="6">
        <v>1.8</v>
      </c>
      <c r="C10" s="6">
        <v>1.8</v>
      </c>
      <c r="D10" s="6">
        <f t="shared" si="2"/>
        <v>7.2</v>
      </c>
      <c r="E10" s="4">
        <f t="shared" si="3"/>
        <v>3.24</v>
      </c>
      <c r="I10" s="1"/>
      <c r="J10" s="1"/>
      <c r="K10" s="1"/>
      <c r="L10" s="1"/>
      <c r="M10" s="1"/>
      <c r="N10" s="1"/>
      <c r="O10" s="1"/>
      <c r="P10" s="1"/>
    </row>
    <row r="11" spans="1:16">
      <c r="A11" s="70" t="s">
        <v>136</v>
      </c>
      <c r="B11" s="6">
        <v>1.5</v>
      </c>
      <c r="C11" s="6">
        <v>1.8</v>
      </c>
      <c r="D11" s="6">
        <f t="shared" si="2"/>
        <v>6.6</v>
      </c>
      <c r="E11" s="4">
        <f t="shared" si="3"/>
        <v>2.7</v>
      </c>
      <c r="I11" s="1"/>
      <c r="J11" s="1"/>
      <c r="K11" s="1"/>
      <c r="L11" s="1"/>
      <c r="M11" s="1"/>
      <c r="N11" s="1"/>
      <c r="O11" s="1"/>
      <c r="P11" s="1"/>
    </row>
    <row r="12" spans="1:16">
      <c r="A12" s="70" t="s">
        <v>128</v>
      </c>
      <c r="B12" s="9"/>
      <c r="C12" s="9"/>
      <c r="D12" s="6">
        <v>7.1</v>
      </c>
      <c r="E12" s="4">
        <v>3.18</v>
      </c>
      <c r="I12" s="1"/>
      <c r="J12" s="1"/>
      <c r="K12" s="1"/>
      <c r="L12" s="1"/>
      <c r="M12" s="1"/>
      <c r="N12" s="1"/>
      <c r="O12" s="1"/>
      <c r="P12" s="1"/>
    </row>
    <row r="13" spans="1:16">
      <c r="A13" s="70" t="s">
        <v>134</v>
      </c>
      <c r="B13" s="9"/>
      <c r="C13" s="9"/>
      <c r="D13" s="6">
        <v>15.12</v>
      </c>
      <c r="E13" s="4">
        <v>12.85</v>
      </c>
      <c r="I13" s="1"/>
      <c r="J13" s="1"/>
      <c r="K13" s="1"/>
      <c r="L13" s="1"/>
      <c r="M13" s="1"/>
      <c r="N13" s="1"/>
      <c r="O13" s="1"/>
      <c r="P13" s="1"/>
    </row>
    <row r="14" spans="1:16">
      <c r="A14" s="70" t="s">
        <v>134</v>
      </c>
      <c r="B14" s="6">
        <v>1.95</v>
      </c>
      <c r="C14" s="6">
        <v>1.1000000000000001</v>
      </c>
      <c r="D14" s="6">
        <f t="shared" ref="D14" si="4">2*(B14+C14)</f>
        <v>6.1</v>
      </c>
      <c r="E14" s="4">
        <f t="shared" ref="E14" si="5">B14*C14</f>
        <v>2.145</v>
      </c>
      <c r="I14" s="1"/>
      <c r="J14" s="1"/>
      <c r="K14" s="1"/>
      <c r="L14" s="1"/>
      <c r="M14" s="1"/>
      <c r="N14" s="1"/>
      <c r="O14" s="1"/>
      <c r="P14" s="1"/>
    </row>
    <row r="15" spans="1:16">
      <c r="A15" s="70" t="s">
        <v>128</v>
      </c>
      <c r="B15" s="6">
        <v>2.35</v>
      </c>
      <c r="C15" s="6">
        <v>1.8</v>
      </c>
      <c r="D15" s="6">
        <f t="shared" ref="D15:D16" si="6">2*(B15+C15)</f>
        <v>8.3000000000000007</v>
      </c>
      <c r="E15" s="4">
        <f t="shared" ref="E15:E16" si="7">B15*C15</f>
        <v>4.2300000000000004</v>
      </c>
      <c r="I15" s="1"/>
      <c r="J15" s="1"/>
      <c r="K15" s="1"/>
      <c r="L15" s="1"/>
      <c r="M15" s="1"/>
      <c r="N15" s="1"/>
      <c r="O15" s="1"/>
      <c r="P15" s="1"/>
    </row>
    <row r="16" spans="1:16">
      <c r="A16" s="70" t="s">
        <v>128</v>
      </c>
      <c r="B16" s="6">
        <v>2.35</v>
      </c>
      <c r="C16" s="6">
        <v>1.8</v>
      </c>
      <c r="D16" s="6">
        <f t="shared" si="6"/>
        <v>8.3000000000000007</v>
      </c>
      <c r="E16" s="4">
        <f t="shared" si="7"/>
        <v>4.2300000000000004</v>
      </c>
      <c r="I16" s="1"/>
      <c r="J16" s="1"/>
      <c r="K16" s="1"/>
      <c r="L16" s="1"/>
      <c r="M16" s="1"/>
      <c r="N16" s="1"/>
      <c r="O16" s="1"/>
      <c r="P16" s="1"/>
    </row>
    <row r="17" spans="1:16">
      <c r="A17" s="70" t="s">
        <v>147</v>
      </c>
      <c r="B17" s="6">
        <v>3.45</v>
      </c>
      <c r="C17" s="6">
        <v>2.4500000000000002</v>
      </c>
      <c r="D17" s="6">
        <f t="shared" si="0"/>
        <v>11.8</v>
      </c>
      <c r="E17" s="4">
        <f t="shared" ref="E17" si="8">B17*C17</f>
        <v>8.4525000000000006</v>
      </c>
      <c r="I17" s="1"/>
      <c r="J17" s="1"/>
      <c r="K17" s="1"/>
      <c r="L17" s="1"/>
      <c r="M17" s="1"/>
      <c r="N17" s="1"/>
      <c r="O17" s="1"/>
      <c r="P17" s="1"/>
    </row>
    <row r="18" spans="1:16">
      <c r="A18" s="70" t="s">
        <v>151</v>
      </c>
      <c r="B18" s="6">
        <v>2.17</v>
      </c>
      <c r="C18" s="6">
        <v>12.7</v>
      </c>
      <c r="D18" s="6">
        <f t="shared" si="0"/>
        <v>29.74</v>
      </c>
      <c r="E18" s="4">
        <f t="shared" ref="E18" si="9">B18*C18</f>
        <v>27.558999999999997</v>
      </c>
      <c r="I18" s="1"/>
      <c r="J18" s="1"/>
      <c r="K18" s="1"/>
      <c r="L18" s="1"/>
      <c r="M18" s="1"/>
      <c r="N18" s="1"/>
      <c r="O18" s="1"/>
      <c r="P18" s="1"/>
    </row>
    <row r="19" spans="1:16">
      <c r="A19" s="70" t="s">
        <v>153</v>
      </c>
      <c r="B19" s="6">
        <v>2.0499999999999998</v>
      </c>
      <c r="C19" s="6">
        <v>12.7</v>
      </c>
      <c r="D19" s="6">
        <f t="shared" si="0"/>
        <v>29.5</v>
      </c>
      <c r="E19" s="4">
        <f t="shared" ref="E19" si="10">B19*C19</f>
        <v>26.034999999999997</v>
      </c>
      <c r="I19" s="1"/>
      <c r="J19" s="1"/>
      <c r="K19" s="1"/>
      <c r="L19" s="1"/>
      <c r="M19" s="1"/>
      <c r="N19" s="1"/>
      <c r="O19" s="1"/>
      <c r="P19" s="1"/>
    </row>
    <row r="21" spans="1:16">
      <c r="A21" s="70" t="s">
        <v>83</v>
      </c>
      <c r="B21" s="155">
        <f>SUM(E3:E19)</f>
        <v>137.69499999999999</v>
      </c>
      <c r="C21" s="156"/>
    </row>
    <row r="22" spans="1:16" hidden="1">
      <c r="A22" s="5" t="s">
        <v>403</v>
      </c>
    </row>
  </sheetData>
  <mergeCells count="2">
    <mergeCell ref="B21:C21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Plan27">
    <tabColor rgb="FF00FF00"/>
  </sheetPr>
  <dimension ref="A1:P8"/>
  <sheetViews>
    <sheetView zoomScale="85" zoomScaleNormal="85" workbookViewId="0">
      <pane ySplit="2" topLeftCell="A3" activePane="bottomLeft" state="frozenSplit"/>
      <selection pane="bottomLeft" activeCell="A8" sqref="A8:XFD8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404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80" t="s">
        <v>286</v>
      </c>
      <c r="B3" s="9"/>
      <c r="C3" s="9"/>
      <c r="D3" s="6">
        <v>50.96</v>
      </c>
      <c r="E3" s="4">
        <v>77.87</v>
      </c>
      <c r="I3" s="1"/>
      <c r="J3" s="1"/>
      <c r="K3" s="1"/>
      <c r="L3" s="1"/>
      <c r="M3" s="1"/>
      <c r="N3" s="1"/>
      <c r="O3" s="1"/>
      <c r="P3" s="1"/>
    </row>
    <row r="4" spans="1:16">
      <c r="A4" s="80" t="s">
        <v>287</v>
      </c>
      <c r="B4" s="6">
        <v>15.87</v>
      </c>
      <c r="C4" s="6">
        <v>3.6</v>
      </c>
      <c r="D4" s="6">
        <f t="shared" ref="D4" si="0">2*(B4+C4)</f>
        <v>38.94</v>
      </c>
      <c r="E4" s="4">
        <f t="shared" ref="E4" si="1">B4*C4</f>
        <v>57.131999999999998</v>
      </c>
      <c r="I4" s="1"/>
      <c r="J4" s="1"/>
      <c r="K4" s="1"/>
      <c r="L4" s="1"/>
      <c r="M4" s="1"/>
      <c r="N4" s="1"/>
      <c r="O4" s="1"/>
      <c r="P4" s="1"/>
    </row>
    <row r="7" spans="1:16">
      <c r="A7" s="70" t="s">
        <v>83</v>
      </c>
      <c r="B7" s="155">
        <f>SUM(E3:E4)</f>
        <v>135.00200000000001</v>
      </c>
      <c r="C7" s="156"/>
    </row>
    <row r="8" spans="1:16" hidden="1">
      <c r="A8" s="5" t="s">
        <v>405</v>
      </c>
    </row>
  </sheetData>
  <mergeCells count="2">
    <mergeCell ref="B7:C7"/>
    <mergeCell ref="A1:E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Plan28">
    <tabColor rgb="FF00FF00"/>
  </sheetPr>
  <dimension ref="A1:P24"/>
  <sheetViews>
    <sheetView zoomScale="85" zoomScaleNormal="85" workbookViewId="0">
      <pane ySplit="2" topLeftCell="A3" activePane="bottomLeft" state="frozenSplit"/>
      <selection pane="bottomLeft" activeCell="K20" sqref="K20"/>
    </sheetView>
  </sheetViews>
  <sheetFormatPr defaultRowHeight="15"/>
  <cols>
    <col min="1" max="1" width="20.7109375" style="5" customWidth="1"/>
    <col min="2" max="6" width="10.7109375" style="5" customWidth="1"/>
    <col min="7" max="7" width="10.7109375" style="5" hidden="1" customWidth="1"/>
    <col min="8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16">
      <c r="A1" s="147" t="s">
        <v>406</v>
      </c>
      <c r="B1" s="147"/>
      <c r="C1" s="147"/>
      <c r="D1" s="147"/>
      <c r="E1" s="147"/>
    </row>
    <row r="2" spans="1:16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  <c r="I2" s="1"/>
      <c r="J2" s="1"/>
      <c r="K2" s="1"/>
      <c r="L2" s="1"/>
      <c r="M2" s="1"/>
      <c r="N2" s="1"/>
      <c r="O2" s="1"/>
      <c r="P2" s="1"/>
    </row>
    <row r="3" spans="1:16">
      <c r="A3" s="70" t="s">
        <v>139</v>
      </c>
      <c r="B3" s="9"/>
      <c r="C3" s="9"/>
      <c r="D3" s="6">
        <v>27.06</v>
      </c>
      <c r="E3" s="4">
        <f>37.07+(21*2.2*0.18)</f>
        <v>45.386000000000003</v>
      </c>
      <c r="I3" s="1"/>
      <c r="J3" s="1"/>
      <c r="K3" s="1"/>
      <c r="L3" s="1"/>
      <c r="M3" s="1"/>
      <c r="N3" s="1"/>
      <c r="O3" s="1"/>
      <c r="P3" s="1"/>
    </row>
    <row r="4" spans="1:16">
      <c r="A4" s="70" t="s">
        <v>150</v>
      </c>
      <c r="B4" s="6">
        <v>7.48</v>
      </c>
      <c r="C4" s="6">
        <v>4.4000000000000004</v>
      </c>
      <c r="D4" s="6">
        <f t="shared" ref="D4:D5" si="0">2*(B4+C4)</f>
        <v>23.76</v>
      </c>
      <c r="E4" s="4">
        <f>(B4*C4)+(21*2.2*0.18)</f>
        <v>41.228000000000009</v>
      </c>
      <c r="I4" s="1"/>
      <c r="J4" s="1"/>
      <c r="K4" s="1"/>
      <c r="L4" s="1"/>
      <c r="M4" s="1"/>
      <c r="N4" s="1"/>
      <c r="O4" s="1"/>
      <c r="P4" s="1"/>
    </row>
    <row r="5" spans="1:16">
      <c r="A5" s="80" t="s">
        <v>288</v>
      </c>
      <c r="B5" s="6">
        <v>2.98</v>
      </c>
      <c r="C5" s="6">
        <v>11.25</v>
      </c>
      <c r="D5" s="6">
        <f t="shared" si="0"/>
        <v>28.46</v>
      </c>
      <c r="E5" s="4">
        <f>B5*C5</f>
        <v>33.524999999999999</v>
      </c>
      <c r="I5" s="1"/>
      <c r="J5" s="1"/>
      <c r="K5" s="1"/>
      <c r="L5" s="1"/>
      <c r="M5" s="1"/>
      <c r="N5" s="1"/>
      <c r="O5" s="1"/>
      <c r="P5" s="1"/>
    </row>
    <row r="7" spans="1:16">
      <c r="A7" s="80" t="s">
        <v>289</v>
      </c>
      <c r="B7" s="155">
        <f>SUM(E3:E5)</f>
        <v>120.13900000000001</v>
      </c>
      <c r="C7" s="156"/>
      <c r="G7" s="5" t="s">
        <v>409</v>
      </c>
    </row>
    <row r="10" spans="1:16">
      <c r="A10" s="147" t="s">
        <v>407</v>
      </c>
      <c r="B10" s="147"/>
      <c r="C10" s="147"/>
      <c r="D10" s="147"/>
      <c r="E10" s="147"/>
    </row>
    <row r="11" spans="1:16" ht="30" customHeight="1">
      <c r="A11" s="1"/>
      <c r="B11" s="10" t="s">
        <v>7</v>
      </c>
      <c r="C11" s="10" t="s">
        <v>8</v>
      </c>
      <c r="D11" s="11" t="s">
        <v>2</v>
      </c>
      <c r="E11" s="11" t="s">
        <v>1</v>
      </c>
    </row>
    <row r="12" spans="1:16">
      <c r="A12" s="80" t="s">
        <v>291</v>
      </c>
      <c r="B12" s="6">
        <v>4.4400000000000004</v>
      </c>
      <c r="C12" s="6">
        <v>18.5</v>
      </c>
      <c r="D12" s="6">
        <f t="shared" ref="D12" si="1">2*(B12+C12)</f>
        <v>45.88</v>
      </c>
      <c r="E12" s="4">
        <f>B12*C12</f>
        <v>82.14</v>
      </c>
    </row>
    <row r="13" spans="1:16">
      <c r="A13" s="133" t="s">
        <v>460</v>
      </c>
      <c r="B13" s="6">
        <f>9*2.2</f>
        <v>19.8</v>
      </c>
      <c r="C13" s="6">
        <v>0.18</v>
      </c>
      <c r="D13" s="9"/>
      <c r="E13" s="4">
        <f>B13*C13</f>
        <v>3.5640000000000001</v>
      </c>
    </row>
    <row r="15" spans="1:16">
      <c r="A15" s="80" t="s">
        <v>290</v>
      </c>
      <c r="B15" s="155">
        <f>SUM(E12:E13)</f>
        <v>85.704000000000008</v>
      </c>
      <c r="C15" s="156"/>
    </row>
    <row r="19" spans="1:7">
      <c r="A19" s="147" t="s">
        <v>408</v>
      </c>
      <c r="B19" s="147"/>
      <c r="C19" s="147"/>
      <c r="D19" s="147"/>
    </row>
    <row r="20" spans="1:7" ht="29.25">
      <c r="A20" s="1"/>
      <c r="B20" s="10" t="s">
        <v>343</v>
      </c>
      <c r="C20" s="10" t="s">
        <v>344</v>
      </c>
      <c r="D20" s="19" t="s">
        <v>345</v>
      </c>
    </row>
    <row r="21" spans="1:7">
      <c r="A21" s="130" t="s">
        <v>139</v>
      </c>
      <c r="B21" s="129">
        <v>21</v>
      </c>
      <c r="C21" s="6">
        <v>2.2000000000000002</v>
      </c>
      <c r="D21" s="6">
        <f>B21*C21</f>
        <v>46.2</v>
      </c>
    </row>
    <row r="22" spans="1:7">
      <c r="A22" s="130" t="s">
        <v>150</v>
      </c>
      <c r="B22" s="129">
        <v>21</v>
      </c>
      <c r="C22" s="6">
        <v>2.2000000000000002</v>
      </c>
      <c r="D22" s="6">
        <f>B22*C22</f>
        <v>46.2</v>
      </c>
    </row>
    <row r="24" spans="1:7">
      <c r="A24" s="130" t="s">
        <v>346</v>
      </c>
      <c r="B24" s="157">
        <f>SUM(D21:D22)</f>
        <v>92.4</v>
      </c>
      <c r="C24" s="158"/>
      <c r="G24" s="5" t="s">
        <v>410</v>
      </c>
    </row>
  </sheetData>
  <mergeCells count="6">
    <mergeCell ref="B7:C7"/>
    <mergeCell ref="B15:C15"/>
    <mergeCell ref="B24:C24"/>
    <mergeCell ref="A1:E1"/>
    <mergeCell ref="A10:E10"/>
    <mergeCell ref="A19:D19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Plan29">
    <tabColor rgb="FF00FF00"/>
  </sheetPr>
  <dimension ref="A1:E58"/>
  <sheetViews>
    <sheetView view="pageBreakPreview" zoomScale="60" zoomScaleNormal="85" workbookViewId="0">
      <selection activeCell="O22" sqref="O22:O23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5">
      <c r="A1" s="147" t="s">
        <v>411</v>
      </c>
      <c r="B1" s="147"/>
      <c r="C1" s="147"/>
      <c r="D1" s="147"/>
      <c r="E1" s="147"/>
    </row>
    <row r="2" spans="1:5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</row>
    <row r="3" spans="1:5">
      <c r="A3" s="85" t="s">
        <v>152</v>
      </c>
      <c r="B3" s="6">
        <v>6.6</v>
      </c>
      <c r="C3" s="6">
        <v>12.7</v>
      </c>
      <c r="D3" s="6">
        <f t="shared" ref="D3" si="0">2*(B3+C3)</f>
        <v>38.599999999999994</v>
      </c>
      <c r="E3" s="4">
        <f t="shared" ref="E3" si="1">B3*C3</f>
        <v>83.82</v>
      </c>
    </row>
    <row r="4" spans="1:5">
      <c r="A4" s="80" t="s">
        <v>111</v>
      </c>
      <c r="B4" s="9"/>
      <c r="C4" s="9"/>
      <c r="D4" s="6">
        <v>32.799999999999997</v>
      </c>
      <c r="E4" s="4">
        <v>51.4</v>
      </c>
    </row>
    <row r="5" spans="1:5">
      <c r="A5" s="80" t="s">
        <v>112</v>
      </c>
      <c r="B5" s="6">
        <v>2</v>
      </c>
      <c r="C5" s="6">
        <v>2</v>
      </c>
      <c r="D5" s="6">
        <f t="shared" ref="D5:D51" si="2">2*(B5+C5)</f>
        <v>8</v>
      </c>
      <c r="E5" s="4">
        <f t="shared" ref="E5:E17" si="3">B5*C5</f>
        <v>4</v>
      </c>
    </row>
    <row r="6" spans="1:5">
      <c r="A6" s="80" t="s">
        <v>113</v>
      </c>
      <c r="B6" s="6">
        <v>2</v>
      </c>
      <c r="C6" s="6">
        <v>1.6</v>
      </c>
      <c r="D6" s="6">
        <f t="shared" si="2"/>
        <v>7.2</v>
      </c>
      <c r="E6" s="4">
        <f t="shared" si="3"/>
        <v>3.2</v>
      </c>
    </row>
    <row r="7" spans="1:5">
      <c r="A7" s="80" t="s">
        <v>141</v>
      </c>
      <c r="B7" s="6">
        <v>7.05</v>
      </c>
      <c r="C7" s="6">
        <v>5.32</v>
      </c>
      <c r="D7" s="6">
        <f t="shared" si="2"/>
        <v>24.740000000000002</v>
      </c>
      <c r="E7" s="4">
        <f t="shared" si="3"/>
        <v>37.506</v>
      </c>
    </row>
    <row r="8" spans="1:5">
      <c r="A8" s="80" t="s">
        <v>142</v>
      </c>
      <c r="B8" s="6">
        <v>4.5</v>
      </c>
      <c r="C8" s="6">
        <v>3.3</v>
      </c>
      <c r="D8" s="6">
        <f t="shared" si="2"/>
        <v>15.6</v>
      </c>
      <c r="E8" s="4">
        <f t="shared" si="3"/>
        <v>14.85</v>
      </c>
    </row>
    <row r="9" spans="1:5">
      <c r="A9" s="80" t="s">
        <v>115</v>
      </c>
      <c r="B9" s="6">
        <v>4.55</v>
      </c>
      <c r="C9" s="6">
        <v>3.3</v>
      </c>
      <c r="D9" s="6">
        <f t="shared" si="2"/>
        <v>15.7</v>
      </c>
      <c r="E9" s="4">
        <f t="shared" si="3"/>
        <v>15.014999999999999</v>
      </c>
    </row>
    <row r="10" spans="1:5">
      <c r="A10" s="80" t="s">
        <v>116</v>
      </c>
      <c r="B10" s="6">
        <v>3.9</v>
      </c>
      <c r="C10" s="6">
        <v>2.95</v>
      </c>
      <c r="D10" s="6">
        <f t="shared" si="2"/>
        <v>13.7</v>
      </c>
      <c r="E10" s="4">
        <f t="shared" si="3"/>
        <v>11.505000000000001</v>
      </c>
    </row>
    <row r="11" spans="1:5">
      <c r="A11" s="80" t="s">
        <v>117</v>
      </c>
      <c r="B11" s="6">
        <v>4</v>
      </c>
      <c r="C11" s="6">
        <v>3.55</v>
      </c>
      <c r="D11" s="6">
        <f t="shared" si="2"/>
        <v>15.1</v>
      </c>
      <c r="E11" s="4">
        <f t="shared" si="3"/>
        <v>14.2</v>
      </c>
    </row>
    <row r="12" spans="1:5">
      <c r="A12" s="80" t="s">
        <v>120</v>
      </c>
      <c r="B12" s="6">
        <v>1.8</v>
      </c>
      <c r="C12" s="6">
        <v>2.95</v>
      </c>
      <c r="D12" s="6">
        <f t="shared" si="2"/>
        <v>9.5</v>
      </c>
      <c r="E12" s="4">
        <f t="shared" si="3"/>
        <v>5.3100000000000005</v>
      </c>
    </row>
    <row r="13" spans="1:5">
      <c r="A13" s="80" t="s">
        <v>121</v>
      </c>
      <c r="B13" s="6">
        <v>2.0499999999999998</v>
      </c>
      <c r="C13" s="6">
        <v>2.95</v>
      </c>
      <c r="D13" s="6">
        <f t="shared" si="2"/>
        <v>10</v>
      </c>
      <c r="E13" s="4">
        <f t="shared" si="3"/>
        <v>6.0474999999999994</v>
      </c>
    </row>
    <row r="14" spans="1:5">
      <c r="A14" s="80" t="s">
        <v>123</v>
      </c>
      <c r="B14" s="6">
        <v>3.35</v>
      </c>
      <c r="C14" s="6">
        <v>2.95</v>
      </c>
      <c r="D14" s="6">
        <f t="shared" si="2"/>
        <v>12.600000000000001</v>
      </c>
      <c r="E14" s="4">
        <f t="shared" si="3"/>
        <v>9.8825000000000003</v>
      </c>
    </row>
    <row r="15" spans="1:5">
      <c r="A15" s="80" t="s">
        <v>124</v>
      </c>
      <c r="B15" s="6">
        <v>5.0999999999999996</v>
      </c>
      <c r="C15" s="6">
        <v>4.0199999999999996</v>
      </c>
      <c r="D15" s="6">
        <f t="shared" si="2"/>
        <v>18.239999999999998</v>
      </c>
      <c r="E15" s="4">
        <f t="shared" si="3"/>
        <v>20.501999999999995</v>
      </c>
    </row>
    <row r="16" spans="1:5">
      <c r="A16" s="80" t="s">
        <v>125</v>
      </c>
      <c r="B16" s="6">
        <v>2.5</v>
      </c>
      <c r="C16" s="6">
        <v>4.42</v>
      </c>
      <c r="D16" s="6">
        <f t="shared" si="2"/>
        <v>13.84</v>
      </c>
      <c r="E16" s="4">
        <f t="shared" si="3"/>
        <v>11.05</v>
      </c>
    </row>
    <row r="17" spans="1:5">
      <c r="A17" s="80" t="s">
        <v>127</v>
      </c>
      <c r="B17" s="6">
        <v>2.5499999999999998</v>
      </c>
      <c r="C17" s="6">
        <v>4.42</v>
      </c>
      <c r="D17" s="6">
        <f t="shared" si="2"/>
        <v>13.94</v>
      </c>
      <c r="E17" s="4">
        <f t="shared" si="3"/>
        <v>11.270999999999999</v>
      </c>
    </row>
    <row r="18" spans="1:5">
      <c r="A18" s="80" t="s">
        <v>129</v>
      </c>
      <c r="B18" s="9"/>
      <c r="C18" s="9"/>
      <c r="D18" s="6">
        <v>21.4</v>
      </c>
      <c r="E18" s="4">
        <v>22.9</v>
      </c>
    </row>
    <row r="19" spans="1:5">
      <c r="A19" s="80" t="s">
        <v>130</v>
      </c>
      <c r="B19" s="6">
        <v>2.5499999999999998</v>
      </c>
      <c r="C19" s="6">
        <v>4.9000000000000004</v>
      </c>
      <c r="D19" s="6">
        <f t="shared" ref="D19:D20" si="4">2*(B19+C19)</f>
        <v>14.9</v>
      </c>
      <c r="E19" s="4">
        <f t="shared" ref="E19:E20" si="5">B19*C19</f>
        <v>12.494999999999999</v>
      </c>
    </row>
    <row r="20" spans="1:5">
      <c r="A20" s="80" t="s">
        <v>144</v>
      </c>
      <c r="B20" s="6">
        <v>2.5499999999999998</v>
      </c>
      <c r="C20" s="6">
        <v>4.9000000000000004</v>
      </c>
      <c r="D20" s="6">
        <f t="shared" si="4"/>
        <v>14.9</v>
      </c>
      <c r="E20" s="4">
        <f t="shared" si="5"/>
        <v>12.494999999999999</v>
      </c>
    </row>
    <row r="21" spans="1:5">
      <c r="A21" s="80" t="s">
        <v>131</v>
      </c>
      <c r="B21" s="9"/>
      <c r="C21" s="9"/>
      <c r="D21" s="6">
        <v>14.9</v>
      </c>
      <c r="E21" s="4">
        <v>10.93</v>
      </c>
    </row>
    <row r="22" spans="1:5">
      <c r="A22" s="80" t="s">
        <v>132</v>
      </c>
      <c r="B22" s="6">
        <v>2.2999999999999998</v>
      </c>
      <c r="C22" s="6">
        <v>2.2000000000000002</v>
      </c>
      <c r="D22" s="6">
        <f t="shared" ref="D22:D24" si="6">2*(B22+C22)</f>
        <v>9</v>
      </c>
      <c r="E22" s="4">
        <f t="shared" ref="E22:E24" si="7">B22*C22</f>
        <v>5.0599999999999996</v>
      </c>
    </row>
    <row r="23" spans="1:5">
      <c r="A23" s="80" t="s">
        <v>133</v>
      </c>
      <c r="B23" s="6">
        <v>5.15</v>
      </c>
      <c r="C23" s="6">
        <v>2.2000000000000002</v>
      </c>
      <c r="D23" s="6">
        <f t="shared" si="6"/>
        <v>14.700000000000001</v>
      </c>
      <c r="E23" s="4">
        <f t="shared" si="7"/>
        <v>11.330000000000002</v>
      </c>
    </row>
    <row r="24" spans="1:5">
      <c r="A24" s="80" t="s">
        <v>135</v>
      </c>
      <c r="B24" s="6">
        <v>4.75</v>
      </c>
      <c r="C24" s="6">
        <v>1.89</v>
      </c>
      <c r="D24" s="6">
        <f t="shared" si="6"/>
        <v>13.28</v>
      </c>
      <c r="E24" s="4">
        <f t="shared" si="7"/>
        <v>8.9774999999999991</v>
      </c>
    </row>
    <row r="25" spans="1:5">
      <c r="A25" s="80" t="s">
        <v>143</v>
      </c>
      <c r="B25" s="9"/>
      <c r="C25" s="9"/>
      <c r="D25" s="6">
        <v>63.03</v>
      </c>
      <c r="E25" s="4">
        <v>175.36</v>
      </c>
    </row>
    <row r="26" spans="1:5">
      <c r="A26" s="80" t="s">
        <v>137</v>
      </c>
      <c r="B26" s="6">
        <v>1.95</v>
      </c>
      <c r="C26" s="6">
        <v>3.23</v>
      </c>
      <c r="D26" s="6">
        <f t="shared" ref="D26:D27" si="8">2*(B26+C26)</f>
        <v>10.36</v>
      </c>
      <c r="E26" s="4">
        <f t="shared" ref="E26:E27" si="9">B26*C26</f>
        <v>6.2984999999999998</v>
      </c>
    </row>
    <row r="27" spans="1:5">
      <c r="A27" s="80" t="s">
        <v>138</v>
      </c>
      <c r="B27" s="6">
        <v>1.95</v>
      </c>
      <c r="C27" s="6">
        <v>2.15</v>
      </c>
      <c r="D27" s="6">
        <f t="shared" si="8"/>
        <v>8.1999999999999993</v>
      </c>
      <c r="E27" s="4">
        <f t="shared" si="9"/>
        <v>4.1924999999999999</v>
      </c>
    </row>
    <row r="28" spans="1:5">
      <c r="A28" s="80" t="s">
        <v>4</v>
      </c>
      <c r="B28" s="9"/>
      <c r="C28" s="9"/>
      <c r="D28" s="6">
        <v>134.11000000000001</v>
      </c>
      <c r="E28" s="4">
        <v>148.59</v>
      </c>
    </row>
    <row r="29" spans="1:5">
      <c r="A29" s="80" t="s">
        <v>140</v>
      </c>
      <c r="B29" s="6">
        <v>2.35</v>
      </c>
      <c r="C29" s="6">
        <v>3.42</v>
      </c>
      <c r="D29" s="6">
        <f t="shared" ref="D29" si="10">2*(B29+C29)</f>
        <v>11.54</v>
      </c>
      <c r="E29" s="4">
        <f t="shared" ref="E29" si="11">B29*C29</f>
        <v>8.0370000000000008</v>
      </c>
    </row>
    <row r="30" spans="1:5">
      <c r="A30" s="80" t="s">
        <v>145</v>
      </c>
      <c r="B30" s="9"/>
      <c r="C30" s="9"/>
      <c r="D30" s="6">
        <v>45.7</v>
      </c>
      <c r="E30" s="4">
        <v>79.39</v>
      </c>
    </row>
    <row r="31" spans="1:5">
      <c r="A31" s="80" t="s">
        <v>146</v>
      </c>
      <c r="B31" s="9"/>
      <c r="C31" s="9"/>
      <c r="D31" s="6">
        <v>33.200000000000003</v>
      </c>
      <c r="E31" s="4">
        <v>59.11</v>
      </c>
    </row>
    <row r="32" spans="1:5">
      <c r="A32" s="80" t="s">
        <v>124</v>
      </c>
      <c r="B32" s="6">
        <v>3.45</v>
      </c>
      <c r="C32" s="6">
        <v>3.2</v>
      </c>
      <c r="D32" s="6">
        <f t="shared" si="2"/>
        <v>13.3</v>
      </c>
      <c r="E32" s="4">
        <f t="shared" ref="E32:E43" si="12">B32*C32</f>
        <v>11.040000000000001</v>
      </c>
    </row>
    <row r="33" spans="1:5">
      <c r="A33" s="80" t="s">
        <v>148</v>
      </c>
      <c r="B33" s="6">
        <v>4.55</v>
      </c>
      <c r="C33" s="6">
        <v>2.35</v>
      </c>
      <c r="D33" s="6">
        <f t="shared" si="2"/>
        <v>13.8</v>
      </c>
      <c r="E33" s="4">
        <f t="shared" si="12"/>
        <v>10.692500000000001</v>
      </c>
    </row>
    <row r="34" spans="1:5">
      <c r="A34" s="80" t="s">
        <v>149</v>
      </c>
      <c r="B34" s="6">
        <v>3.78</v>
      </c>
      <c r="C34" s="6">
        <v>4.45</v>
      </c>
      <c r="D34" s="6">
        <f t="shared" si="2"/>
        <v>16.46</v>
      </c>
      <c r="E34" s="4">
        <f t="shared" si="12"/>
        <v>16.821000000000002</v>
      </c>
    </row>
    <row r="35" spans="1:5">
      <c r="A35" s="80" t="s">
        <v>5</v>
      </c>
      <c r="B35" s="6">
        <v>2</v>
      </c>
      <c r="C35" s="6">
        <v>1.42</v>
      </c>
      <c r="D35" s="6">
        <f t="shared" si="2"/>
        <v>6.84</v>
      </c>
      <c r="E35" s="4">
        <f t="shared" si="12"/>
        <v>2.84</v>
      </c>
    </row>
    <row r="36" spans="1:5">
      <c r="A36" s="80" t="s">
        <v>114</v>
      </c>
      <c r="B36" s="6">
        <v>2</v>
      </c>
      <c r="C36" s="6">
        <v>2</v>
      </c>
      <c r="D36" s="6">
        <f t="shared" si="2"/>
        <v>8</v>
      </c>
      <c r="E36" s="4">
        <f t="shared" si="12"/>
        <v>4</v>
      </c>
    </row>
    <row r="37" spans="1:5">
      <c r="A37" s="80" t="s">
        <v>118</v>
      </c>
      <c r="B37" s="6">
        <v>3.35</v>
      </c>
      <c r="C37" s="6">
        <v>2.2349999999999999</v>
      </c>
      <c r="D37" s="6">
        <f t="shared" si="2"/>
        <v>11.17</v>
      </c>
      <c r="E37" s="4">
        <f t="shared" si="12"/>
        <v>7.4872499999999995</v>
      </c>
    </row>
    <row r="38" spans="1:5">
      <c r="A38" s="80" t="s">
        <v>119</v>
      </c>
      <c r="B38" s="6">
        <v>3.35</v>
      </c>
      <c r="C38" s="6">
        <v>2.2349999999999999</v>
      </c>
      <c r="D38" s="6">
        <f t="shared" si="2"/>
        <v>11.17</v>
      </c>
      <c r="E38" s="4">
        <f t="shared" si="12"/>
        <v>7.4872499999999995</v>
      </c>
    </row>
    <row r="39" spans="1:5">
      <c r="A39" s="80" t="s">
        <v>126</v>
      </c>
      <c r="B39" s="6">
        <v>2.5</v>
      </c>
      <c r="C39" s="6">
        <v>1.6</v>
      </c>
      <c r="D39" s="6">
        <f t="shared" si="2"/>
        <v>8.1999999999999993</v>
      </c>
      <c r="E39" s="4">
        <f t="shared" si="12"/>
        <v>4</v>
      </c>
    </row>
    <row r="40" spans="1:5">
      <c r="A40" s="80" t="s">
        <v>128</v>
      </c>
      <c r="B40" s="6">
        <v>2.5499999999999998</v>
      </c>
      <c r="C40" s="6">
        <v>1.6</v>
      </c>
      <c r="D40" s="6">
        <f t="shared" si="2"/>
        <v>8.3000000000000007</v>
      </c>
      <c r="E40" s="4">
        <f t="shared" si="12"/>
        <v>4.08</v>
      </c>
    </row>
    <row r="41" spans="1:5">
      <c r="A41" s="80" t="s">
        <v>134</v>
      </c>
      <c r="B41" s="6">
        <v>3.45</v>
      </c>
      <c r="C41" s="6">
        <v>3.82</v>
      </c>
      <c r="D41" s="6">
        <f t="shared" si="2"/>
        <v>14.54</v>
      </c>
      <c r="E41" s="4">
        <f t="shared" si="12"/>
        <v>13.179</v>
      </c>
    </row>
    <row r="42" spans="1:5">
      <c r="A42" s="80" t="s">
        <v>128</v>
      </c>
      <c r="B42" s="6">
        <v>1.8</v>
      </c>
      <c r="C42" s="6">
        <v>1.8</v>
      </c>
      <c r="D42" s="6">
        <f t="shared" si="2"/>
        <v>7.2</v>
      </c>
      <c r="E42" s="4">
        <f t="shared" si="12"/>
        <v>3.24</v>
      </c>
    </row>
    <row r="43" spans="1:5">
      <c r="A43" s="80" t="s">
        <v>136</v>
      </c>
      <c r="B43" s="6">
        <v>1.5</v>
      </c>
      <c r="C43" s="6">
        <v>1.8</v>
      </c>
      <c r="D43" s="6">
        <f t="shared" si="2"/>
        <v>6.6</v>
      </c>
      <c r="E43" s="4">
        <f t="shared" si="12"/>
        <v>2.7</v>
      </c>
    </row>
    <row r="44" spans="1:5">
      <c r="A44" s="80" t="s">
        <v>128</v>
      </c>
      <c r="B44" s="9"/>
      <c r="C44" s="9"/>
      <c r="D44" s="6">
        <v>7.1</v>
      </c>
      <c r="E44" s="4">
        <v>3.18</v>
      </c>
    </row>
    <row r="45" spans="1:5">
      <c r="A45" s="80" t="s">
        <v>134</v>
      </c>
      <c r="B45" s="9"/>
      <c r="C45" s="9"/>
      <c r="D45" s="6">
        <v>15.12</v>
      </c>
      <c r="E45" s="4">
        <v>12.85</v>
      </c>
    </row>
    <row r="46" spans="1:5">
      <c r="A46" s="80" t="s">
        <v>134</v>
      </c>
      <c r="B46" s="6">
        <v>1.95</v>
      </c>
      <c r="C46" s="6">
        <v>1.1000000000000001</v>
      </c>
      <c r="D46" s="6">
        <f t="shared" ref="D46:D48" si="13">2*(B46+C46)</f>
        <v>6.1</v>
      </c>
      <c r="E46" s="4">
        <f t="shared" ref="E46:E51" si="14">B46*C46</f>
        <v>2.145</v>
      </c>
    </row>
    <row r="47" spans="1:5">
      <c r="A47" s="80" t="s">
        <v>128</v>
      </c>
      <c r="B47" s="6">
        <v>2.35</v>
      </c>
      <c r="C47" s="6">
        <v>1.8</v>
      </c>
      <c r="D47" s="6">
        <f t="shared" si="13"/>
        <v>8.3000000000000007</v>
      </c>
      <c r="E47" s="4">
        <f t="shared" si="14"/>
        <v>4.2300000000000004</v>
      </c>
    </row>
    <row r="48" spans="1:5">
      <c r="A48" s="80" t="s">
        <v>128</v>
      </c>
      <c r="B48" s="6">
        <v>2.35</v>
      </c>
      <c r="C48" s="6">
        <v>1.8</v>
      </c>
      <c r="D48" s="6">
        <f t="shared" si="13"/>
        <v>8.3000000000000007</v>
      </c>
      <c r="E48" s="4">
        <f t="shared" si="14"/>
        <v>4.2300000000000004</v>
      </c>
    </row>
    <row r="49" spans="1:5">
      <c r="A49" s="80" t="s">
        <v>147</v>
      </c>
      <c r="B49" s="6">
        <v>3.45</v>
      </c>
      <c r="C49" s="6">
        <v>2.4500000000000002</v>
      </c>
      <c r="D49" s="6">
        <f t="shared" si="2"/>
        <v>11.8</v>
      </c>
      <c r="E49" s="4">
        <f t="shared" si="14"/>
        <v>8.4525000000000006</v>
      </c>
    </row>
    <row r="50" spans="1:5">
      <c r="A50" s="80" t="s">
        <v>151</v>
      </c>
      <c r="B50" s="6">
        <v>2.17</v>
      </c>
      <c r="C50" s="6">
        <v>12.7</v>
      </c>
      <c r="D50" s="6">
        <f t="shared" si="2"/>
        <v>29.74</v>
      </c>
      <c r="E50" s="4">
        <f t="shared" si="14"/>
        <v>27.558999999999997</v>
      </c>
    </row>
    <row r="51" spans="1:5">
      <c r="A51" s="80" t="s">
        <v>153</v>
      </c>
      <c r="B51" s="6">
        <v>2.0499999999999998</v>
      </c>
      <c r="C51" s="6">
        <v>12.7</v>
      </c>
      <c r="D51" s="6">
        <f t="shared" si="2"/>
        <v>29.5</v>
      </c>
      <c r="E51" s="4">
        <f t="shared" si="14"/>
        <v>26.034999999999997</v>
      </c>
    </row>
    <row r="52" spans="1:5">
      <c r="A52" s="80" t="s">
        <v>139</v>
      </c>
      <c r="B52" s="9"/>
      <c r="C52" s="9"/>
      <c r="D52" s="6">
        <v>27.06</v>
      </c>
      <c r="E52" s="4">
        <f>37.07+(21*2.2*0.18)</f>
        <v>45.386000000000003</v>
      </c>
    </row>
    <row r="53" spans="1:5">
      <c r="A53" s="80" t="s">
        <v>150</v>
      </c>
      <c r="B53" s="6">
        <v>7.48</v>
      </c>
      <c r="C53" s="6">
        <v>4.4000000000000004</v>
      </c>
      <c r="D53" s="6">
        <f t="shared" ref="D53:D54" si="15">2*(B53+C53)</f>
        <v>23.76</v>
      </c>
      <c r="E53" s="4">
        <f>(B53*C53)+(21*2.2*0.18)</f>
        <v>41.228000000000009</v>
      </c>
    </row>
    <row r="54" spans="1:5">
      <c r="A54" s="80" t="s">
        <v>288</v>
      </c>
      <c r="B54" s="6">
        <v>2.98</v>
      </c>
      <c r="C54" s="6">
        <v>11.25</v>
      </c>
      <c r="D54" s="6">
        <f t="shared" si="15"/>
        <v>28.46</v>
      </c>
      <c r="E54" s="4">
        <f>B54*C54</f>
        <v>33.524999999999999</v>
      </c>
    </row>
    <row r="55" spans="1:5">
      <c r="A55" s="80" t="s">
        <v>291</v>
      </c>
      <c r="B55" s="6">
        <v>4.4400000000000004</v>
      </c>
      <c r="C55" s="6">
        <v>18.5</v>
      </c>
      <c r="D55" s="9"/>
      <c r="E55" s="4">
        <f>(B55*C55)+(9*2.2*0.18)</f>
        <v>85.704000000000008</v>
      </c>
    </row>
    <row r="57" spans="1:5">
      <c r="A57" s="80" t="s">
        <v>83</v>
      </c>
      <c r="B57" s="153">
        <f>SUM(E3:E55)</f>
        <v>1246.8160000000003</v>
      </c>
      <c r="C57" s="154"/>
    </row>
    <row r="58" spans="1:5" hidden="1">
      <c r="A58" s="5" t="s">
        <v>412</v>
      </c>
    </row>
  </sheetData>
  <mergeCells count="2">
    <mergeCell ref="B57:C57"/>
    <mergeCell ref="A1:E1"/>
  </mergeCells>
  <pageMargins left="0.51181102362204722" right="0.51181102362204722" top="0.78740157480314965" bottom="0.78740157480314965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>
    <tabColor rgb="FF00FF00"/>
  </sheetPr>
  <dimension ref="A1:AL35"/>
  <sheetViews>
    <sheetView view="pageBreakPreview" zoomScale="85" zoomScaleNormal="85" zoomScaleSheetLayoutView="85" workbookViewId="0">
      <pane ySplit="4" topLeftCell="A5" activePane="bottomLeft" state="frozenSplit"/>
      <selection pane="bottomLeft" activeCell="J47" sqref="J47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0" t="s">
        <v>351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2"/>
    </row>
    <row r="2" spans="1:38" s="3" customFormat="1">
      <c r="A2" s="12" t="s">
        <v>21</v>
      </c>
      <c r="D2" s="147" t="s">
        <v>6</v>
      </c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38" s="3" customFormat="1">
      <c r="A3" s="48">
        <f>Memória!A2</f>
        <v>3.4</v>
      </c>
      <c r="D3" s="148" t="s">
        <v>9</v>
      </c>
      <c r="E3" s="149"/>
      <c r="F3" s="148" t="s">
        <v>12</v>
      </c>
      <c r="G3" s="149"/>
      <c r="H3" s="148" t="s">
        <v>13</v>
      </c>
      <c r="I3" s="149"/>
      <c r="J3" s="148" t="s">
        <v>14</v>
      </c>
      <c r="K3" s="149"/>
      <c r="L3" s="148" t="s">
        <v>15</v>
      </c>
      <c r="M3" s="149"/>
      <c r="N3" s="148" t="s">
        <v>16</v>
      </c>
      <c r="O3" s="149"/>
      <c r="P3" s="148" t="s">
        <v>17</v>
      </c>
      <c r="Q3" s="149"/>
      <c r="R3" s="147" t="s">
        <v>18</v>
      </c>
      <c r="S3" s="147"/>
      <c r="T3" s="147" t="s">
        <v>19</v>
      </c>
      <c r="U3" s="147"/>
      <c r="V3" s="147" t="s">
        <v>20</v>
      </c>
      <c r="W3" s="147"/>
      <c r="X3" s="147" t="s">
        <v>22</v>
      </c>
      <c r="Y3" s="147"/>
      <c r="Z3" s="147" t="s">
        <v>23</v>
      </c>
      <c r="AA3" s="147"/>
    </row>
    <row r="4" spans="1:38" ht="30" customHeight="1">
      <c r="A4" s="1"/>
      <c r="B4" s="19" t="s">
        <v>26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45" t="s">
        <v>27</v>
      </c>
      <c r="B5" s="6">
        <v>11.52</v>
      </c>
      <c r="C5" s="4">
        <f t="shared" ref="C5:C19" si="0">(B5*$A$3)-((D5*E5)+(F5*G5)+(H5*I5)+(J5*K5)+(L5*M5)+(N5*O5)+(P5*Q5)+(R5*S5)+(T5*U5)+(V5*W5)+(X5*Y5)+(Z5*AA5))</f>
        <v>35.167999999999999</v>
      </c>
      <c r="D5" s="75">
        <v>2</v>
      </c>
      <c r="E5" s="76">
        <v>1</v>
      </c>
      <c r="F5" s="75">
        <v>2</v>
      </c>
      <c r="G5" s="76">
        <v>1</v>
      </c>
      <c r="H5" s="77"/>
      <c r="I5" s="78"/>
      <c r="J5" s="77"/>
      <c r="K5" s="78"/>
      <c r="L5" s="77"/>
      <c r="M5" s="78"/>
      <c r="N5" s="77"/>
      <c r="O5" s="78"/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E5" s="1"/>
      <c r="AF5" s="1"/>
      <c r="AG5" s="1"/>
      <c r="AH5" s="1"/>
      <c r="AI5" s="1"/>
      <c r="AJ5" s="1"/>
      <c r="AK5" s="1"/>
      <c r="AL5" s="1"/>
    </row>
    <row r="6" spans="1:38">
      <c r="A6" s="45" t="s">
        <v>28</v>
      </c>
      <c r="B6" s="6">
        <v>14.8</v>
      </c>
      <c r="C6" s="4">
        <f t="shared" si="0"/>
        <v>42.17</v>
      </c>
      <c r="D6" s="75">
        <v>1</v>
      </c>
      <c r="E6" s="76">
        <v>0.8</v>
      </c>
      <c r="F6" s="75">
        <v>2.75</v>
      </c>
      <c r="G6" s="76">
        <v>1</v>
      </c>
      <c r="H6" s="75">
        <v>1</v>
      </c>
      <c r="I6" s="76">
        <v>0.8</v>
      </c>
      <c r="J6" s="75">
        <v>3</v>
      </c>
      <c r="K6" s="76">
        <v>1</v>
      </c>
      <c r="L6" s="75">
        <v>1</v>
      </c>
      <c r="M6" s="76">
        <v>0.8</v>
      </c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E6" s="1"/>
      <c r="AF6" s="1"/>
      <c r="AI6" s="1"/>
      <c r="AJ6" s="1"/>
    </row>
    <row r="7" spans="1:38">
      <c r="A7" s="45" t="s">
        <v>32</v>
      </c>
      <c r="B7" s="6">
        <v>8.6300000000000008</v>
      </c>
      <c r="C7" s="4">
        <f t="shared" si="0"/>
        <v>29.342000000000002</v>
      </c>
      <c r="D7" s="77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E7" s="1"/>
      <c r="AF7" s="1"/>
      <c r="AG7" s="1"/>
      <c r="AH7" s="1"/>
      <c r="AI7" s="1"/>
      <c r="AJ7" s="1"/>
      <c r="AK7" s="1"/>
      <c r="AL7" s="1"/>
    </row>
    <row r="8" spans="1:38">
      <c r="A8" s="45" t="s">
        <v>33</v>
      </c>
      <c r="B8" s="6">
        <v>9.75</v>
      </c>
      <c r="C8" s="4">
        <f t="shared" si="0"/>
        <v>24.339999999999996</v>
      </c>
      <c r="D8" s="75">
        <v>2.2000000000000002</v>
      </c>
      <c r="E8" s="76">
        <v>1</v>
      </c>
      <c r="F8" s="75">
        <v>2.2000000000000002</v>
      </c>
      <c r="G8" s="76">
        <v>1</v>
      </c>
      <c r="H8" s="77"/>
      <c r="I8" s="78"/>
      <c r="J8" s="77"/>
      <c r="K8" s="78"/>
      <c r="L8" s="75">
        <v>2.1</v>
      </c>
      <c r="M8" s="76">
        <v>2.1</v>
      </c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E8" s="1"/>
      <c r="AF8" s="1"/>
      <c r="AG8" s="1"/>
      <c r="AH8" s="1"/>
      <c r="AI8" s="1"/>
      <c r="AJ8" s="1"/>
      <c r="AK8" s="1"/>
      <c r="AL8" s="1"/>
    </row>
    <row r="9" spans="1:38">
      <c r="A9" s="45" t="s">
        <v>38</v>
      </c>
      <c r="B9" s="7">
        <v>8.6300000000000008</v>
      </c>
      <c r="C9" s="4">
        <f t="shared" si="0"/>
        <v>29.342000000000002</v>
      </c>
      <c r="D9" s="77"/>
      <c r="E9" s="78"/>
      <c r="F9" s="77"/>
      <c r="G9" s="78"/>
      <c r="H9" s="77"/>
      <c r="I9" s="78"/>
      <c r="J9" s="77"/>
      <c r="K9" s="78"/>
      <c r="L9" s="77"/>
      <c r="M9" s="78"/>
      <c r="N9" s="77"/>
      <c r="O9" s="78"/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E9" s="1"/>
      <c r="AF9" s="1"/>
      <c r="AG9" s="1"/>
      <c r="AH9" s="1"/>
      <c r="AI9" s="1"/>
      <c r="AJ9" s="1"/>
      <c r="AK9" s="1"/>
      <c r="AL9" s="1"/>
    </row>
    <row r="10" spans="1:38">
      <c r="A10" s="45" t="s">
        <v>39</v>
      </c>
      <c r="B10" s="7">
        <v>1.9</v>
      </c>
      <c r="C10" s="4">
        <f t="shared" si="0"/>
        <v>3.6669999999999998</v>
      </c>
      <c r="D10" s="77"/>
      <c r="E10" s="78"/>
      <c r="F10" s="77"/>
      <c r="G10" s="78"/>
      <c r="H10" s="77"/>
      <c r="I10" s="78"/>
      <c r="J10" s="77"/>
      <c r="K10" s="78"/>
      <c r="L10" s="75">
        <v>1.33</v>
      </c>
      <c r="M10" s="76">
        <v>2.1</v>
      </c>
      <c r="N10" s="77"/>
      <c r="O10" s="78"/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E10" s="1"/>
      <c r="AF10" s="1"/>
      <c r="AG10" s="1"/>
      <c r="AH10" s="1"/>
      <c r="AI10" s="1"/>
      <c r="AJ10" s="1"/>
      <c r="AK10" s="1"/>
      <c r="AL10" s="1"/>
    </row>
    <row r="11" spans="1:38">
      <c r="A11" s="45" t="s">
        <v>42</v>
      </c>
      <c r="B11" s="7">
        <v>4.4000000000000004</v>
      </c>
      <c r="C11" s="4">
        <f t="shared" si="0"/>
        <v>14.96</v>
      </c>
      <c r="D11" s="77"/>
      <c r="E11" s="78"/>
      <c r="F11" s="77"/>
      <c r="G11" s="78"/>
      <c r="H11" s="77"/>
      <c r="I11" s="78"/>
      <c r="J11" s="77"/>
      <c r="K11" s="78"/>
      <c r="L11" s="77"/>
      <c r="M11" s="78"/>
      <c r="N11" s="77"/>
      <c r="O11" s="78"/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E11" s="1"/>
      <c r="AF11" s="1"/>
      <c r="AG11" s="1"/>
      <c r="AH11" s="1"/>
      <c r="AI11" s="1"/>
      <c r="AJ11" s="1"/>
      <c r="AK11" s="1"/>
      <c r="AL11" s="1"/>
    </row>
    <row r="12" spans="1:38">
      <c r="A12" s="12" t="s">
        <v>160</v>
      </c>
      <c r="B12" s="47">
        <v>14.5</v>
      </c>
      <c r="C12" s="4">
        <f t="shared" si="0"/>
        <v>35.4</v>
      </c>
      <c r="D12" s="90">
        <v>13.9</v>
      </c>
      <c r="E12" s="91">
        <v>1</v>
      </c>
      <c r="F12" s="77"/>
      <c r="G12" s="78"/>
      <c r="H12" s="77"/>
      <c r="I12" s="78"/>
      <c r="J12" s="77"/>
      <c r="K12" s="78"/>
      <c r="L12" s="77"/>
      <c r="M12" s="78"/>
      <c r="N12" s="77"/>
      <c r="O12" s="78"/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E12" s="1"/>
      <c r="AF12" s="1"/>
      <c r="AG12" s="1"/>
      <c r="AH12" s="1"/>
      <c r="AI12" s="1"/>
      <c r="AJ12" s="1"/>
      <c r="AK12" s="1"/>
      <c r="AL12" s="1"/>
    </row>
    <row r="13" spans="1:38">
      <c r="A13" s="12" t="s">
        <v>163</v>
      </c>
      <c r="B13" s="47">
        <v>1.65</v>
      </c>
      <c r="C13" s="4">
        <f t="shared" si="0"/>
        <v>5.6099999999999994</v>
      </c>
      <c r="D13" s="77"/>
      <c r="E13" s="78"/>
      <c r="F13" s="77"/>
      <c r="G13" s="78"/>
      <c r="H13" s="77"/>
      <c r="I13" s="78"/>
      <c r="J13" s="77"/>
      <c r="K13" s="78"/>
      <c r="L13" s="77"/>
      <c r="M13" s="78"/>
      <c r="N13" s="77"/>
      <c r="O13" s="78"/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E13" s="1"/>
      <c r="AF13" s="1"/>
      <c r="AG13" s="1"/>
      <c r="AH13" s="1"/>
      <c r="AI13" s="1"/>
      <c r="AJ13" s="1"/>
      <c r="AK13" s="1"/>
      <c r="AL13" s="1"/>
    </row>
    <row r="14" spans="1:38">
      <c r="A14" s="12" t="s">
        <v>164</v>
      </c>
      <c r="B14" s="47">
        <v>4.1500000000000004</v>
      </c>
      <c r="C14" s="4">
        <f t="shared" si="0"/>
        <v>9.9600000000000009</v>
      </c>
      <c r="D14" s="90">
        <v>4.1500000000000004</v>
      </c>
      <c r="E14" s="91">
        <v>1</v>
      </c>
      <c r="F14" s="77"/>
      <c r="G14" s="78"/>
      <c r="H14" s="77"/>
      <c r="I14" s="78"/>
      <c r="J14" s="77"/>
      <c r="K14" s="78"/>
      <c r="L14" s="77"/>
      <c r="M14" s="78"/>
      <c r="N14" s="77"/>
      <c r="O14" s="78"/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E14" s="1"/>
      <c r="AF14" s="1"/>
      <c r="AG14" s="1"/>
      <c r="AH14" s="1"/>
      <c r="AI14" s="1"/>
      <c r="AJ14" s="1"/>
      <c r="AK14" s="1"/>
      <c r="AL14" s="1"/>
    </row>
    <row r="15" spans="1:38">
      <c r="A15" s="12" t="s">
        <v>165</v>
      </c>
      <c r="B15" s="47">
        <v>12.4</v>
      </c>
      <c r="C15" s="4">
        <f t="shared" si="0"/>
        <v>31.709999999999997</v>
      </c>
      <c r="D15" s="90">
        <v>7.1</v>
      </c>
      <c r="E15" s="91">
        <v>1</v>
      </c>
      <c r="F15" s="90">
        <v>3.35</v>
      </c>
      <c r="G15" s="91">
        <v>1</v>
      </c>
      <c r="H15" s="77"/>
      <c r="I15" s="78"/>
      <c r="J15" s="77"/>
      <c r="K15" s="78"/>
      <c r="L15" s="77"/>
      <c r="M15" s="78"/>
      <c r="N15" s="77"/>
      <c r="O15" s="78"/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E15" s="1"/>
      <c r="AF15" s="1"/>
      <c r="AG15" s="1"/>
      <c r="AH15" s="1"/>
      <c r="AI15" s="1"/>
      <c r="AJ15" s="1"/>
      <c r="AK15" s="1"/>
      <c r="AL15" s="1"/>
    </row>
    <row r="16" spans="1:38" ht="15.75" thickBot="1">
      <c r="A16" s="12" t="s">
        <v>166</v>
      </c>
      <c r="B16" s="47">
        <v>11.55</v>
      </c>
      <c r="C16" s="4">
        <f t="shared" si="0"/>
        <v>27.720000000000002</v>
      </c>
      <c r="D16" s="90">
        <v>11.55</v>
      </c>
      <c r="E16" s="91">
        <v>1</v>
      </c>
      <c r="F16" s="92"/>
      <c r="G16" s="93"/>
      <c r="H16" s="92"/>
      <c r="I16" s="93"/>
      <c r="J16" s="92"/>
      <c r="K16" s="93"/>
      <c r="L16" s="92"/>
      <c r="M16" s="93"/>
      <c r="N16" s="92"/>
      <c r="O16" s="93"/>
      <c r="P16" s="92"/>
      <c r="Q16" s="93"/>
      <c r="R16" s="92"/>
      <c r="S16" s="93"/>
      <c r="T16" s="92"/>
      <c r="U16" s="93"/>
      <c r="V16" s="92"/>
      <c r="W16" s="93"/>
      <c r="X16" s="92"/>
      <c r="Y16" s="93"/>
      <c r="Z16" s="92"/>
      <c r="AA16" s="93"/>
      <c r="AE16" s="1"/>
      <c r="AF16" s="1"/>
      <c r="AG16" s="1"/>
      <c r="AH16" s="1"/>
      <c r="AI16" s="1"/>
      <c r="AJ16" s="1"/>
      <c r="AK16" s="1"/>
      <c r="AL16" s="1"/>
    </row>
    <row r="17" spans="1:38">
      <c r="A17" s="26" t="s">
        <v>56</v>
      </c>
      <c r="B17" s="23">
        <v>29.57</v>
      </c>
      <c r="C17" s="24">
        <f t="shared" si="0"/>
        <v>90.537999999999997</v>
      </c>
      <c r="D17" s="98">
        <v>2</v>
      </c>
      <c r="E17" s="99">
        <v>1</v>
      </c>
      <c r="F17" s="98">
        <v>2</v>
      </c>
      <c r="G17" s="99">
        <v>1</v>
      </c>
      <c r="H17" s="98">
        <v>2</v>
      </c>
      <c r="I17" s="99">
        <v>1</v>
      </c>
      <c r="J17" s="98">
        <v>2</v>
      </c>
      <c r="K17" s="99">
        <v>1</v>
      </c>
      <c r="L17" s="98">
        <v>2</v>
      </c>
      <c r="M17" s="99">
        <v>1</v>
      </c>
      <c r="N17" s="100"/>
      <c r="O17" s="101"/>
      <c r="P17" s="100"/>
      <c r="Q17" s="101"/>
      <c r="R17" s="100"/>
      <c r="S17" s="101"/>
      <c r="T17" s="100"/>
      <c r="U17" s="101"/>
      <c r="V17" s="100"/>
      <c r="W17" s="101"/>
      <c r="X17" s="100"/>
      <c r="Y17" s="101"/>
      <c r="Z17" s="100"/>
      <c r="AA17" s="101"/>
      <c r="AE17" s="1"/>
      <c r="AF17" s="1"/>
      <c r="AG17" s="1"/>
      <c r="AH17" s="1"/>
      <c r="AI17" s="1"/>
      <c r="AJ17" s="1"/>
      <c r="AK17" s="1"/>
      <c r="AL17" s="1"/>
    </row>
    <row r="18" spans="1:38">
      <c r="A18" s="45" t="s">
        <v>63</v>
      </c>
      <c r="B18" s="6">
        <v>5.6</v>
      </c>
      <c r="C18" s="4">
        <f t="shared" si="0"/>
        <v>19.04</v>
      </c>
      <c r="D18" s="77"/>
      <c r="E18" s="78"/>
      <c r="F18" s="77"/>
      <c r="G18" s="78"/>
      <c r="H18" s="77"/>
      <c r="I18" s="78"/>
      <c r="J18" s="77"/>
      <c r="K18" s="78"/>
      <c r="L18" s="77"/>
      <c r="M18" s="78"/>
      <c r="N18" s="77"/>
      <c r="O18" s="78"/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</row>
    <row r="19" spans="1:38">
      <c r="A19" s="45" t="s">
        <v>65</v>
      </c>
      <c r="B19" s="6">
        <v>12.7</v>
      </c>
      <c r="C19" s="4">
        <f t="shared" si="0"/>
        <v>43.18</v>
      </c>
      <c r="D19" s="77"/>
      <c r="E19" s="78"/>
      <c r="F19" s="77"/>
      <c r="G19" s="78"/>
      <c r="H19" s="77"/>
      <c r="I19" s="78"/>
      <c r="J19" s="77"/>
      <c r="K19" s="78"/>
      <c r="L19" s="77"/>
      <c r="M19" s="78"/>
      <c r="N19" s="77"/>
      <c r="O19" s="78"/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</row>
    <row r="20" spans="1:38">
      <c r="A20" s="45" t="s">
        <v>78</v>
      </c>
      <c r="B20" s="6">
        <v>1.75</v>
      </c>
      <c r="C20" s="4">
        <f t="shared" ref="C20:C25" si="1">(B20*$A$3)-((D20*E20)+(F20*G20)+(H20*I20)+(J20*K20)+(L20*M20)+(N20*O20)+(P20*Q20)+(R20*S20)+(T20*U20)+(V20*W20)+(X20*Y20)+(Z20*AA20))</f>
        <v>5.95</v>
      </c>
      <c r="D20" s="77"/>
      <c r="E20" s="78"/>
      <c r="F20" s="77"/>
      <c r="G20" s="78"/>
      <c r="H20" s="77"/>
      <c r="I20" s="78"/>
      <c r="J20" s="77"/>
      <c r="K20" s="78"/>
      <c r="L20" s="77"/>
      <c r="M20" s="78"/>
      <c r="N20" s="77"/>
      <c r="O20" s="78"/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</row>
    <row r="21" spans="1:38">
      <c r="A21" s="45" t="s">
        <v>169</v>
      </c>
      <c r="B21" s="6">
        <v>3.5</v>
      </c>
      <c r="C21" s="4">
        <f t="shared" si="1"/>
        <v>11.9</v>
      </c>
      <c r="D21" s="77"/>
      <c r="E21" s="78"/>
      <c r="F21" s="77"/>
      <c r="G21" s="78"/>
      <c r="H21" s="77"/>
      <c r="I21" s="78"/>
      <c r="J21" s="77"/>
      <c r="K21" s="78"/>
      <c r="L21" s="77"/>
      <c r="M21" s="78"/>
      <c r="N21" s="77"/>
      <c r="O21" s="78"/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</row>
    <row r="22" spans="1:38">
      <c r="A22" s="45" t="s">
        <v>181</v>
      </c>
      <c r="B22" s="6">
        <v>12.85</v>
      </c>
      <c r="C22" s="4">
        <f t="shared" si="1"/>
        <v>43.69</v>
      </c>
      <c r="D22" s="77"/>
      <c r="E22" s="78"/>
      <c r="F22" s="77"/>
      <c r="G22" s="78"/>
      <c r="H22" s="77"/>
      <c r="I22" s="78"/>
      <c r="J22" s="77"/>
      <c r="K22" s="78"/>
      <c r="L22" s="77"/>
      <c r="M22" s="78"/>
      <c r="N22" s="77"/>
      <c r="O22" s="78"/>
      <c r="P22" s="77"/>
      <c r="Q22" s="78"/>
      <c r="R22" s="77"/>
      <c r="S22" s="78"/>
      <c r="T22" s="77"/>
      <c r="U22" s="78"/>
      <c r="V22" s="77"/>
      <c r="W22" s="78"/>
      <c r="X22" s="77"/>
      <c r="Y22" s="78"/>
      <c r="Z22" s="77"/>
      <c r="AA22" s="78"/>
    </row>
    <row r="23" spans="1:38">
      <c r="A23" s="45" t="s">
        <v>187</v>
      </c>
      <c r="B23" s="6">
        <v>6.93</v>
      </c>
      <c r="C23" s="4">
        <f t="shared" si="1"/>
        <v>23.561999999999998</v>
      </c>
      <c r="D23" s="77"/>
      <c r="E23" s="78"/>
      <c r="F23" s="77"/>
      <c r="G23" s="78"/>
      <c r="H23" s="77"/>
      <c r="I23" s="78"/>
      <c r="J23" s="77"/>
      <c r="K23" s="78"/>
      <c r="L23" s="77"/>
      <c r="M23" s="78"/>
      <c r="N23" s="77"/>
      <c r="O23" s="78"/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</row>
    <row r="24" spans="1:38">
      <c r="A24" s="45" t="s">
        <v>191</v>
      </c>
      <c r="B24" s="6">
        <v>11.4</v>
      </c>
      <c r="C24" s="4">
        <f t="shared" si="1"/>
        <v>13.32</v>
      </c>
      <c r="D24" s="75">
        <v>4.8</v>
      </c>
      <c r="E24" s="76">
        <v>2.65</v>
      </c>
      <c r="F24" s="77"/>
      <c r="G24" s="78"/>
      <c r="H24" s="77"/>
      <c r="I24" s="78"/>
      <c r="J24" s="77"/>
      <c r="K24" s="78"/>
      <c r="L24" s="75">
        <v>4.8</v>
      </c>
      <c r="M24" s="76">
        <v>2.65</v>
      </c>
      <c r="N24" s="77"/>
      <c r="O24" s="78"/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</row>
    <row r="25" spans="1:38">
      <c r="A25" s="45" t="s">
        <v>192</v>
      </c>
      <c r="B25" s="6">
        <v>14.27</v>
      </c>
      <c r="C25" s="4">
        <f t="shared" si="1"/>
        <v>20.6555</v>
      </c>
      <c r="D25" s="75">
        <v>7.75</v>
      </c>
      <c r="E25" s="76">
        <v>2.95</v>
      </c>
      <c r="F25" s="75">
        <v>5</v>
      </c>
      <c r="G25" s="76">
        <v>1</v>
      </c>
      <c r="H25" s="77"/>
      <c r="I25" s="78"/>
      <c r="J25" s="77"/>
      <c r="K25" s="78"/>
      <c r="L25" s="77"/>
      <c r="M25" s="78"/>
      <c r="N25" s="77"/>
      <c r="O25" s="78"/>
      <c r="P25" s="77"/>
      <c r="Q25" s="78"/>
      <c r="R25" s="77"/>
      <c r="S25" s="78"/>
      <c r="T25" s="77"/>
      <c r="U25" s="78"/>
      <c r="V25" s="77"/>
      <c r="W25" s="78"/>
      <c r="X25" s="77"/>
      <c r="Y25" s="78"/>
      <c r="Z25" s="77"/>
      <c r="AA25" s="78"/>
    </row>
    <row r="26" spans="1:38" hidden="1"/>
    <row r="27" spans="1:38" hidden="1"/>
    <row r="28" spans="1:38" hidden="1"/>
    <row r="29" spans="1:38" hidden="1"/>
    <row r="30" spans="1:38" hidden="1"/>
    <row r="31" spans="1:38" hidden="1"/>
    <row r="32" spans="1:38" hidden="1"/>
    <row r="34" spans="1:3">
      <c r="A34" s="45" t="s">
        <v>83</v>
      </c>
      <c r="B34" s="155">
        <f>SUM(C5:C25)</f>
        <v>561.22450000000003</v>
      </c>
      <c r="C34" s="156"/>
    </row>
    <row r="35" spans="1:3" hidden="1">
      <c r="A35" s="5" t="s">
        <v>362</v>
      </c>
    </row>
  </sheetData>
  <mergeCells count="15">
    <mergeCell ref="A1:AA1"/>
    <mergeCell ref="V3:W3"/>
    <mergeCell ref="X3:Y3"/>
    <mergeCell ref="Z3:AA3"/>
    <mergeCell ref="B34:C34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Plan36">
    <tabColor rgb="FF00FF00"/>
  </sheetPr>
  <dimension ref="A1:E6"/>
  <sheetViews>
    <sheetView zoomScale="85" zoomScaleNormal="85" workbookViewId="0">
      <selection activeCell="D17" sqref="D17"/>
    </sheetView>
  </sheetViews>
  <sheetFormatPr defaultRowHeight="15"/>
  <cols>
    <col min="1" max="1" width="20.7109375" style="5" customWidth="1"/>
    <col min="2" max="8" width="10.7109375" style="5" customWidth="1"/>
    <col min="9" max="10" width="9.140625" style="5"/>
    <col min="11" max="11" width="15.7109375" style="5" customWidth="1"/>
    <col min="12" max="14" width="9.140625" style="5"/>
    <col min="15" max="15" width="15.7109375" style="5" customWidth="1"/>
    <col min="16" max="16384" width="9.140625" style="5"/>
  </cols>
  <sheetData>
    <row r="1" spans="1:5">
      <c r="A1" s="147" t="s">
        <v>492</v>
      </c>
      <c r="B1" s="147"/>
      <c r="C1" s="147"/>
      <c r="D1" s="147"/>
      <c r="E1" s="147"/>
    </row>
    <row r="2" spans="1:5" ht="30" customHeight="1">
      <c r="A2" s="1"/>
      <c r="B2" s="10" t="s">
        <v>7</v>
      </c>
      <c r="C2" s="10" t="s">
        <v>8</v>
      </c>
      <c r="D2" s="11" t="s">
        <v>2</v>
      </c>
      <c r="E2" s="11" t="s">
        <v>1</v>
      </c>
    </row>
    <row r="3" spans="1:5">
      <c r="A3" s="143" t="s">
        <v>152</v>
      </c>
      <c r="B3" s="6">
        <v>6.6</v>
      </c>
      <c r="C3" s="6">
        <v>12.7</v>
      </c>
      <c r="D3" s="6">
        <f t="shared" ref="D3" si="0">2*(B3+C3)</f>
        <v>38.599999999999994</v>
      </c>
      <c r="E3" s="4">
        <f t="shared" ref="E3" si="1">B3*C3</f>
        <v>83.82</v>
      </c>
    </row>
    <row r="6" spans="1:5">
      <c r="A6" s="143" t="s">
        <v>83</v>
      </c>
      <c r="B6" s="155">
        <f>SUM(E3:E3)</f>
        <v>83.82</v>
      </c>
      <c r="C6" s="156"/>
    </row>
  </sheetData>
  <mergeCells count="2">
    <mergeCell ref="A1:E1"/>
    <mergeCell ref="B6:C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Plan30">
    <tabColor rgb="FF00FF00"/>
  </sheetPr>
  <dimension ref="A1:J9"/>
  <sheetViews>
    <sheetView zoomScale="85" zoomScaleNormal="85" workbookViewId="0">
      <selection activeCell="A9" sqref="A9:XFD9"/>
    </sheetView>
  </sheetViews>
  <sheetFormatPr defaultRowHeight="15"/>
  <cols>
    <col min="1" max="1" width="35.7109375" style="5" customWidth="1"/>
    <col min="2" max="2" width="15.7109375" style="5" customWidth="1"/>
    <col min="3" max="4" width="9.140625" style="5"/>
    <col min="5" max="5" width="15.7109375" style="5" customWidth="1"/>
    <col min="6" max="8" width="9.140625" style="5"/>
    <col min="9" max="9" width="15.7109375" style="5" customWidth="1"/>
    <col min="10" max="16384" width="9.140625" style="5"/>
  </cols>
  <sheetData>
    <row r="1" spans="1:10">
      <c r="A1" s="147" t="s">
        <v>413</v>
      </c>
      <c r="B1" s="147"/>
    </row>
    <row r="2" spans="1:10" ht="15" customHeight="1">
      <c r="A2" s="1"/>
      <c r="B2" s="27" t="s">
        <v>87</v>
      </c>
      <c r="C2" s="1"/>
      <c r="D2" s="1"/>
      <c r="E2" s="1"/>
      <c r="F2" s="1"/>
      <c r="G2" s="1"/>
      <c r="H2" s="1"/>
      <c r="I2" s="1"/>
      <c r="J2" s="1"/>
    </row>
    <row r="3" spans="1:10">
      <c r="A3" s="14" t="s">
        <v>104</v>
      </c>
      <c r="B3" s="36">
        <v>0</v>
      </c>
      <c r="C3" s="1"/>
      <c r="D3" s="1"/>
      <c r="E3" s="1"/>
      <c r="F3" s="1"/>
      <c r="G3" s="1"/>
      <c r="H3" s="1"/>
      <c r="I3" s="1"/>
      <c r="J3" s="1"/>
    </row>
    <row r="4" spans="1:10" hidden="1"/>
    <row r="5" spans="1:10" hidden="1"/>
    <row r="8" spans="1:10">
      <c r="A8" s="132" t="s">
        <v>83</v>
      </c>
      <c r="B8" s="36">
        <f>B3</f>
        <v>0</v>
      </c>
    </row>
    <row r="9" spans="1:10" hidden="1">
      <c r="A9" s="5" t="s">
        <v>414</v>
      </c>
    </row>
  </sheetData>
  <mergeCells count="1">
    <mergeCell ref="A1:B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Plan31">
    <tabColor rgb="FF00FF00"/>
  </sheetPr>
  <dimension ref="A1:U29"/>
  <sheetViews>
    <sheetView zoomScale="85" zoomScaleNormal="85" zoomScaleSheetLayoutView="85" workbookViewId="0">
      <pane ySplit="4" topLeftCell="A5" activePane="bottomLeft" state="frozenSplit"/>
      <selection pane="bottomLeft" activeCell="E18" sqref="E18"/>
    </sheetView>
  </sheetViews>
  <sheetFormatPr defaultRowHeight="15"/>
  <cols>
    <col min="1" max="1" width="15.7109375" style="5" customWidth="1"/>
    <col min="2" max="2" width="10.7109375" style="5" customWidth="1"/>
    <col min="3" max="10" width="7.7109375" style="5" customWidth="1"/>
    <col min="11" max="13" width="10.7109375" style="5" customWidth="1"/>
    <col min="14" max="15" width="9.140625" style="5"/>
    <col min="16" max="16" width="15.7109375" style="5" customWidth="1"/>
    <col min="17" max="19" width="9.140625" style="5"/>
    <col min="20" max="20" width="15.7109375" style="5" customWidth="1"/>
    <col min="21" max="16384" width="9.140625" style="5"/>
  </cols>
  <sheetData>
    <row r="1" spans="1:21">
      <c r="A1" s="147" t="s">
        <v>415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21" s="3" customFormat="1">
      <c r="A2" s="12" t="s">
        <v>21</v>
      </c>
      <c r="C2" s="147" t="s">
        <v>6</v>
      </c>
      <c r="D2" s="147"/>
      <c r="E2" s="147"/>
      <c r="F2" s="147"/>
      <c r="G2" s="147"/>
      <c r="H2" s="147"/>
      <c r="I2" s="147"/>
      <c r="J2" s="147"/>
    </row>
    <row r="3" spans="1:21" s="3" customFormat="1">
      <c r="A3" s="48">
        <f>Memória!A2</f>
        <v>3.4</v>
      </c>
      <c r="C3" s="148" t="s">
        <v>15</v>
      </c>
      <c r="D3" s="149"/>
      <c r="E3" s="148" t="s">
        <v>16</v>
      </c>
      <c r="F3" s="149"/>
      <c r="G3" s="148" t="s">
        <v>17</v>
      </c>
      <c r="H3" s="149"/>
      <c r="I3" s="147" t="s">
        <v>23</v>
      </c>
      <c r="J3" s="147"/>
    </row>
    <row r="4" spans="1:21" ht="30" customHeight="1">
      <c r="A4" s="1"/>
      <c r="B4" s="27" t="s">
        <v>100</v>
      </c>
      <c r="C4" s="2" t="s">
        <v>10</v>
      </c>
      <c r="D4" s="2" t="s">
        <v>11</v>
      </c>
      <c r="E4" s="2" t="s">
        <v>10</v>
      </c>
      <c r="F4" s="2" t="s">
        <v>11</v>
      </c>
      <c r="G4" s="2" t="s">
        <v>10</v>
      </c>
      <c r="H4" s="2" t="s">
        <v>11</v>
      </c>
      <c r="I4" s="2" t="s">
        <v>10</v>
      </c>
      <c r="J4" s="2" t="s">
        <v>11</v>
      </c>
      <c r="N4" s="1"/>
      <c r="O4" s="1"/>
      <c r="P4" s="1"/>
      <c r="Q4" s="1"/>
      <c r="R4" s="1"/>
      <c r="S4" s="1"/>
      <c r="T4" s="1"/>
      <c r="U4" s="1"/>
    </row>
    <row r="5" spans="1:21" s="106" customFormat="1">
      <c r="A5" s="64" t="s">
        <v>29</v>
      </c>
      <c r="B5" s="7">
        <f>C5+E5+G5+I5</f>
        <v>0.8</v>
      </c>
      <c r="C5" s="75">
        <v>0.8</v>
      </c>
      <c r="D5" s="76">
        <v>2.1</v>
      </c>
      <c r="E5" s="77"/>
      <c r="F5" s="78"/>
      <c r="G5" s="77"/>
      <c r="H5" s="78"/>
      <c r="I5" s="77"/>
      <c r="J5" s="78"/>
      <c r="K5" s="119"/>
    </row>
    <row r="6" spans="1:21" s="106" customFormat="1">
      <c r="A6" s="64" t="s">
        <v>33</v>
      </c>
      <c r="B6" s="7">
        <f t="shared" ref="B6:B26" si="0">C6+E6+G6+I6</f>
        <v>2.1</v>
      </c>
      <c r="C6" s="75">
        <v>2.1</v>
      </c>
      <c r="D6" s="76">
        <v>2.1</v>
      </c>
      <c r="E6" s="77"/>
      <c r="F6" s="78"/>
      <c r="G6" s="77"/>
      <c r="H6" s="78"/>
      <c r="I6" s="77"/>
      <c r="J6" s="78"/>
      <c r="K6" s="119"/>
      <c r="N6" s="120"/>
      <c r="O6" s="120"/>
      <c r="P6" s="120"/>
      <c r="Q6" s="120"/>
      <c r="R6" s="120"/>
      <c r="S6" s="120"/>
      <c r="T6" s="120"/>
      <c r="U6" s="120"/>
    </row>
    <row r="7" spans="1:21" s="106" customFormat="1">
      <c r="A7" s="64" t="s">
        <v>34</v>
      </c>
      <c r="B7" s="7">
        <f t="shared" si="0"/>
        <v>5</v>
      </c>
      <c r="C7" s="75">
        <v>5</v>
      </c>
      <c r="D7" s="76">
        <v>2.65</v>
      </c>
      <c r="E7" s="77"/>
      <c r="F7" s="78"/>
      <c r="G7" s="77"/>
      <c r="H7" s="78"/>
      <c r="I7" s="77"/>
      <c r="J7" s="78"/>
      <c r="K7" s="119"/>
    </row>
    <row r="8" spans="1:21" s="106" customFormat="1">
      <c r="A8" s="64" t="s">
        <v>36</v>
      </c>
      <c r="B8" s="7">
        <f t="shared" si="0"/>
        <v>1.1000000000000001</v>
      </c>
      <c r="C8" s="75">
        <v>1.1000000000000001</v>
      </c>
      <c r="D8" s="76">
        <v>2.1</v>
      </c>
      <c r="E8" s="77"/>
      <c r="F8" s="78"/>
      <c r="G8" s="77"/>
      <c r="H8" s="78"/>
      <c r="I8" s="77"/>
      <c r="J8" s="78"/>
      <c r="K8" s="119"/>
    </row>
    <row r="9" spans="1:21" s="106" customFormat="1">
      <c r="A9" s="64" t="s">
        <v>39</v>
      </c>
      <c r="B9" s="7">
        <f t="shared" si="0"/>
        <v>1.33</v>
      </c>
      <c r="C9" s="75">
        <v>1.33</v>
      </c>
      <c r="D9" s="76">
        <v>2.1</v>
      </c>
      <c r="E9" s="77"/>
      <c r="F9" s="78"/>
      <c r="G9" s="77"/>
      <c r="H9" s="78"/>
      <c r="I9" s="77"/>
      <c r="J9" s="78"/>
      <c r="K9" s="119"/>
      <c r="N9" s="120"/>
      <c r="O9" s="120"/>
      <c r="P9" s="120"/>
      <c r="Q9" s="120"/>
      <c r="R9" s="120"/>
      <c r="S9" s="120"/>
      <c r="T9" s="120"/>
      <c r="U9" s="120"/>
    </row>
    <row r="10" spans="1:21" s="106" customFormat="1">
      <c r="A10" s="64" t="s">
        <v>44</v>
      </c>
      <c r="B10" s="7">
        <f t="shared" si="0"/>
        <v>1.9000000000000001</v>
      </c>
      <c r="C10" s="75">
        <v>0.8</v>
      </c>
      <c r="D10" s="76">
        <v>2.1</v>
      </c>
      <c r="E10" s="75">
        <v>1.1000000000000001</v>
      </c>
      <c r="F10" s="76">
        <v>2.1</v>
      </c>
      <c r="G10" s="77"/>
      <c r="H10" s="78"/>
      <c r="I10" s="77"/>
      <c r="J10" s="78"/>
      <c r="K10" s="119"/>
    </row>
    <row r="11" spans="1:21" s="106" customFormat="1">
      <c r="A11" s="107" t="s">
        <v>156</v>
      </c>
      <c r="B11" s="7">
        <f t="shared" si="0"/>
        <v>2.6</v>
      </c>
      <c r="C11" s="90">
        <v>0.9</v>
      </c>
      <c r="D11" s="91">
        <v>2.1</v>
      </c>
      <c r="E11" s="90">
        <v>0.8</v>
      </c>
      <c r="F11" s="91">
        <v>2.1</v>
      </c>
      <c r="G11" s="90">
        <v>0.9</v>
      </c>
      <c r="H11" s="91">
        <v>2.1</v>
      </c>
      <c r="I11" s="77"/>
      <c r="J11" s="78"/>
      <c r="K11" s="119"/>
    </row>
    <row r="12" spans="1:21" s="106" customFormat="1" ht="15.75" thickBot="1">
      <c r="A12" s="108" t="s">
        <v>168</v>
      </c>
      <c r="B12" s="121">
        <f t="shared" si="0"/>
        <v>2.1</v>
      </c>
      <c r="C12" s="96">
        <v>2.1</v>
      </c>
      <c r="D12" s="97">
        <v>2.1</v>
      </c>
      <c r="E12" s="94"/>
      <c r="F12" s="95"/>
      <c r="G12" s="94"/>
      <c r="H12" s="95"/>
      <c r="I12" s="94"/>
      <c r="J12" s="95"/>
      <c r="K12" s="119"/>
    </row>
    <row r="13" spans="1:21" s="106" customFormat="1">
      <c r="A13" s="64" t="s">
        <v>61</v>
      </c>
      <c r="B13" s="122">
        <f t="shared" si="0"/>
        <v>1.6</v>
      </c>
      <c r="C13" s="75">
        <v>0.8</v>
      </c>
      <c r="D13" s="76">
        <v>2.1</v>
      </c>
      <c r="E13" s="75">
        <v>0.8</v>
      </c>
      <c r="F13" s="76">
        <v>2.1</v>
      </c>
      <c r="G13" s="77"/>
      <c r="H13" s="78"/>
      <c r="I13" s="77"/>
      <c r="J13" s="78"/>
      <c r="K13" s="119"/>
    </row>
    <row r="14" spans="1:21" s="106" customFormat="1">
      <c r="A14" s="64" t="s">
        <v>64</v>
      </c>
      <c r="B14" s="7">
        <f t="shared" si="0"/>
        <v>1.8</v>
      </c>
      <c r="C14" s="75">
        <v>0.9</v>
      </c>
      <c r="D14" s="76">
        <v>2.1</v>
      </c>
      <c r="E14" s="75">
        <v>0.9</v>
      </c>
      <c r="F14" s="76">
        <v>2.1</v>
      </c>
      <c r="G14" s="77"/>
      <c r="H14" s="78"/>
      <c r="I14" s="77"/>
      <c r="J14" s="78"/>
      <c r="K14" s="119"/>
    </row>
    <row r="15" spans="1:21" s="106" customFormat="1">
      <c r="A15" s="64" t="s">
        <v>69</v>
      </c>
      <c r="B15" s="7">
        <f t="shared" si="0"/>
        <v>2.96</v>
      </c>
      <c r="C15" s="75">
        <v>1.48</v>
      </c>
      <c r="D15" s="76">
        <v>2.1</v>
      </c>
      <c r="E15" s="75">
        <v>1.48</v>
      </c>
      <c r="F15" s="76">
        <v>2.1</v>
      </c>
      <c r="G15" s="77"/>
      <c r="H15" s="78"/>
      <c r="I15" s="77"/>
      <c r="J15" s="78"/>
      <c r="K15" s="119"/>
    </row>
    <row r="16" spans="1:21" s="106" customFormat="1">
      <c r="A16" s="64" t="s">
        <v>72</v>
      </c>
      <c r="B16" s="7">
        <f t="shared" si="0"/>
        <v>2.1</v>
      </c>
      <c r="C16" s="75">
        <v>2.1</v>
      </c>
      <c r="D16" s="76">
        <v>2.1</v>
      </c>
      <c r="E16" s="77"/>
      <c r="F16" s="78"/>
      <c r="G16" s="77"/>
      <c r="H16" s="78"/>
      <c r="I16" s="77"/>
      <c r="J16" s="78"/>
      <c r="K16" s="119"/>
    </row>
    <row r="17" spans="1:11" s="106" customFormat="1">
      <c r="A17" s="64" t="s">
        <v>74</v>
      </c>
      <c r="B17" s="7">
        <f t="shared" si="0"/>
        <v>1.1000000000000001</v>
      </c>
      <c r="C17" s="75">
        <v>1.1000000000000001</v>
      </c>
      <c r="D17" s="76">
        <v>2.1</v>
      </c>
      <c r="E17" s="77"/>
      <c r="F17" s="78"/>
      <c r="G17" s="77"/>
      <c r="H17" s="78"/>
      <c r="I17" s="77"/>
      <c r="J17" s="78"/>
      <c r="K17" s="119"/>
    </row>
    <row r="18" spans="1:11" s="106" customFormat="1">
      <c r="A18" s="64" t="s">
        <v>76</v>
      </c>
      <c r="B18" s="7">
        <f t="shared" si="0"/>
        <v>0.8</v>
      </c>
      <c r="C18" s="75">
        <v>0.8</v>
      </c>
      <c r="D18" s="76">
        <v>2.1</v>
      </c>
      <c r="E18" s="77"/>
      <c r="F18" s="78"/>
      <c r="G18" s="77"/>
      <c r="H18" s="78"/>
      <c r="I18" s="77"/>
      <c r="J18" s="78"/>
      <c r="K18" s="119"/>
    </row>
    <row r="19" spans="1:11" s="106" customFormat="1">
      <c r="A19" s="64" t="s">
        <v>77</v>
      </c>
      <c r="B19" s="7">
        <f t="shared" si="0"/>
        <v>1.1000000000000001</v>
      </c>
      <c r="C19" s="75">
        <v>1.1000000000000001</v>
      </c>
      <c r="D19" s="76">
        <v>2.1</v>
      </c>
      <c r="E19" s="77"/>
      <c r="F19" s="78"/>
      <c r="G19" s="77"/>
      <c r="H19" s="78"/>
      <c r="I19" s="77"/>
      <c r="J19" s="78"/>
      <c r="K19" s="119"/>
    </row>
    <row r="20" spans="1:11" s="106" customFormat="1">
      <c r="A20" s="64" t="s">
        <v>82</v>
      </c>
      <c r="B20" s="7">
        <f t="shared" si="0"/>
        <v>0.9</v>
      </c>
      <c r="C20" s="75">
        <v>0.9</v>
      </c>
      <c r="D20" s="76">
        <v>2.1</v>
      </c>
      <c r="E20" s="77"/>
      <c r="F20" s="78"/>
      <c r="G20" s="77"/>
      <c r="H20" s="78"/>
      <c r="I20" s="77"/>
      <c r="J20" s="78"/>
      <c r="K20" s="119"/>
    </row>
    <row r="21" spans="1:11" s="106" customFormat="1">
      <c r="A21" s="64" t="s">
        <v>175</v>
      </c>
      <c r="B21" s="7">
        <f t="shared" si="0"/>
        <v>0.9</v>
      </c>
      <c r="C21" s="75">
        <v>0.9</v>
      </c>
      <c r="D21" s="76">
        <v>2.1</v>
      </c>
      <c r="E21" s="77"/>
      <c r="F21" s="78"/>
      <c r="G21" s="77"/>
      <c r="H21" s="78"/>
      <c r="I21" s="77"/>
      <c r="J21" s="78"/>
      <c r="K21" s="119"/>
    </row>
    <row r="22" spans="1:11" s="106" customFormat="1">
      <c r="A22" s="64" t="s">
        <v>179</v>
      </c>
      <c r="B22" s="7">
        <f t="shared" si="0"/>
        <v>0.9</v>
      </c>
      <c r="C22" s="75">
        <v>0.9</v>
      </c>
      <c r="D22" s="76">
        <v>2.1</v>
      </c>
      <c r="E22" s="77"/>
      <c r="F22" s="78"/>
      <c r="G22" s="77"/>
      <c r="H22" s="78"/>
      <c r="I22" s="77"/>
      <c r="J22" s="78"/>
      <c r="K22" s="119"/>
    </row>
    <row r="23" spans="1:11" s="106" customFormat="1">
      <c r="A23" s="64" t="s">
        <v>180</v>
      </c>
      <c r="B23" s="7">
        <f t="shared" si="0"/>
        <v>0.8</v>
      </c>
      <c r="C23" s="75">
        <v>0.8</v>
      </c>
      <c r="D23" s="76">
        <v>2.1</v>
      </c>
      <c r="E23" s="77"/>
      <c r="F23" s="78"/>
      <c r="G23" s="77"/>
      <c r="H23" s="78"/>
      <c r="I23" s="77"/>
      <c r="J23" s="78"/>
      <c r="K23" s="119"/>
    </row>
    <row r="24" spans="1:11" s="106" customFormat="1">
      <c r="A24" s="64" t="s">
        <v>186</v>
      </c>
      <c r="B24" s="7">
        <f t="shared" si="0"/>
        <v>0.8</v>
      </c>
      <c r="C24" s="75">
        <v>0.8</v>
      </c>
      <c r="D24" s="76">
        <v>2.1</v>
      </c>
      <c r="E24" s="77"/>
      <c r="F24" s="78"/>
      <c r="G24" s="77"/>
      <c r="H24" s="78"/>
      <c r="I24" s="77"/>
      <c r="J24" s="78"/>
      <c r="K24" s="119"/>
    </row>
    <row r="25" spans="1:11" s="106" customFormat="1">
      <c r="A25" s="64" t="s">
        <v>189</v>
      </c>
      <c r="B25" s="7">
        <f t="shared" si="0"/>
        <v>0.8</v>
      </c>
      <c r="C25" s="75">
        <v>0.8</v>
      </c>
      <c r="D25" s="76">
        <v>2.1</v>
      </c>
      <c r="E25" s="77"/>
      <c r="F25" s="78"/>
      <c r="G25" s="77"/>
      <c r="H25" s="78"/>
      <c r="I25" s="77"/>
      <c r="J25" s="78"/>
      <c r="K25" s="119"/>
    </row>
    <row r="26" spans="1:11" s="106" customFormat="1">
      <c r="A26" s="64" t="s">
        <v>191</v>
      </c>
      <c r="B26" s="7">
        <f t="shared" si="0"/>
        <v>4.8</v>
      </c>
      <c r="C26" s="75">
        <v>4.8</v>
      </c>
      <c r="D26" s="76">
        <v>2.65</v>
      </c>
      <c r="E26" s="77"/>
      <c r="F26" s="78"/>
      <c r="G26" s="77"/>
      <c r="H26" s="78"/>
      <c r="I26" s="77"/>
      <c r="J26" s="78"/>
      <c r="K26" s="119"/>
    </row>
    <row r="28" spans="1:11">
      <c r="A28" s="74" t="s">
        <v>83</v>
      </c>
      <c r="B28" s="35">
        <f>SUM(B5:B26)</f>
        <v>38.29</v>
      </c>
    </row>
    <row r="29" spans="1:11" hidden="1">
      <c r="A29" s="5" t="s">
        <v>416</v>
      </c>
    </row>
  </sheetData>
  <mergeCells count="6">
    <mergeCell ref="A1:J1"/>
    <mergeCell ref="I3:J3"/>
    <mergeCell ref="C2:J2"/>
    <mergeCell ref="C3:D3"/>
    <mergeCell ref="E3:F3"/>
    <mergeCell ref="G3:H3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Plan32">
    <tabColor rgb="FF00FF00"/>
  </sheetPr>
  <dimension ref="A1:AF57"/>
  <sheetViews>
    <sheetView view="pageBreakPreview" zoomScale="60" zoomScaleNormal="85" workbookViewId="0">
      <selection activeCell="N25" sqref="N25"/>
    </sheetView>
  </sheetViews>
  <sheetFormatPr defaultRowHeight="15"/>
  <cols>
    <col min="1" max="1" width="20.7109375" style="5" customWidth="1"/>
    <col min="2" max="5" width="10.7109375" style="5" customWidth="1"/>
    <col min="6" max="30" width="7.7109375" style="5" customWidth="1"/>
    <col min="31" max="31" width="15.7109375" style="5" customWidth="1"/>
    <col min="32" max="16384" width="9.140625" style="5"/>
  </cols>
  <sheetData>
    <row r="1" spans="1:32" s="3" customFormat="1">
      <c r="A1" s="147" t="s">
        <v>417</v>
      </c>
      <c r="B1" s="147"/>
      <c r="C1" s="147"/>
      <c r="F1" s="147" t="s">
        <v>6</v>
      </c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32" s="3" customFormat="1">
      <c r="A2" s="5"/>
      <c r="F2" s="148" t="s">
        <v>15</v>
      </c>
      <c r="G2" s="149"/>
      <c r="H2" s="148" t="s">
        <v>16</v>
      </c>
      <c r="I2" s="149"/>
      <c r="J2" s="148" t="s">
        <v>17</v>
      </c>
      <c r="K2" s="149"/>
      <c r="L2" s="147" t="s">
        <v>18</v>
      </c>
      <c r="M2" s="147"/>
      <c r="N2" s="147" t="s">
        <v>19</v>
      </c>
      <c r="O2" s="147"/>
      <c r="P2" s="147" t="s">
        <v>20</v>
      </c>
      <c r="Q2" s="147"/>
      <c r="R2" s="148" t="s">
        <v>220</v>
      </c>
      <c r="S2" s="149"/>
      <c r="T2" s="147" t="s">
        <v>221</v>
      </c>
      <c r="U2" s="147"/>
      <c r="V2" s="147" t="s">
        <v>222</v>
      </c>
      <c r="W2" s="147"/>
      <c r="X2" s="147" t="s">
        <v>223</v>
      </c>
      <c r="Y2" s="147"/>
      <c r="Z2" s="147" t="s">
        <v>224</v>
      </c>
      <c r="AA2" s="147"/>
      <c r="AB2" s="147" t="s">
        <v>23</v>
      </c>
      <c r="AC2" s="147"/>
    </row>
    <row r="3" spans="1:32" ht="30" customHeight="1">
      <c r="A3" s="1"/>
      <c r="B3" s="10" t="s">
        <v>7</v>
      </c>
      <c r="C3" s="10" t="s">
        <v>8</v>
      </c>
      <c r="D3" s="11" t="s">
        <v>2</v>
      </c>
      <c r="E3" s="19" t="s">
        <v>105</v>
      </c>
      <c r="F3" s="2" t="s">
        <v>10</v>
      </c>
      <c r="G3" s="2" t="s">
        <v>11</v>
      </c>
      <c r="H3" s="2" t="s">
        <v>10</v>
      </c>
      <c r="I3" s="2" t="s">
        <v>11</v>
      </c>
      <c r="J3" s="2" t="s">
        <v>10</v>
      </c>
      <c r="K3" s="2" t="s">
        <v>11</v>
      </c>
      <c r="L3" s="2" t="s">
        <v>10</v>
      </c>
      <c r="M3" s="2" t="s">
        <v>11</v>
      </c>
      <c r="N3" s="2" t="s">
        <v>10</v>
      </c>
      <c r="O3" s="2" t="s">
        <v>11</v>
      </c>
      <c r="P3" s="2" t="s">
        <v>10</v>
      </c>
      <c r="Q3" s="2" t="s">
        <v>11</v>
      </c>
      <c r="R3" s="2" t="s">
        <v>10</v>
      </c>
      <c r="S3" s="2" t="s">
        <v>11</v>
      </c>
      <c r="T3" s="2" t="s">
        <v>10</v>
      </c>
      <c r="U3" s="2" t="s">
        <v>11</v>
      </c>
      <c r="V3" s="2" t="s">
        <v>10</v>
      </c>
      <c r="W3" s="2" t="s">
        <v>11</v>
      </c>
      <c r="X3" s="2" t="s">
        <v>10</v>
      </c>
      <c r="Y3" s="2" t="s">
        <v>11</v>
      </c>
      <c r="Z3" s="2" t="s">
        <v>10</v>
      </c>
      <c r="AA3" s="2" t="s">
        <v>11</v>
      </c>
      <c r="AB3" s="2" t="s">
        <v>10</v>
      </c>
      <c r="AC3" s="2" t="s">
        <v>11</v>
      </c>
      <c r="AD3" s="1"/>
      <c r="AE3" s="1"/>
      <c r="AF3" s="1"/>
    </row>
    <row r="4" spans="1:32" s="106" customFormat="1">
      <c r="A4" s="64" t="s">
        <v>111</v>
      </c>
      <c r="B4" s="123"/>
      <c r="C4" s="123"/>
      <c r="D4" s="7">
        <v>32.799999999999997</v>
      </c>
      <c r="E4" s="7">
        <f>D4-(F4+H4+J4+L4+N4+P4+R4+T4+V4+X4+Z4+AB4)</f>
        <v>31.199999999999996</v>
      </c>
      <c r="F4" s="75">
        <v>0.8</v>
      </c>
      <c r="G4" s="76">
        <v>2.1</v>
      </c>
      <c r="H4" s="75">
        <v>0.8</v>
      </c>
      <c r="I4" s="76">
        <v>2.1</v>
      </c>
      <c r="J4" s="77"/>
      <c r="K4" s="78"/>
      <c r="L4" s="77"/>
      <c r="M4" s="78"/>
      <c r="N4" s="77"/>
      <c r="O4" s="78"/>
      <c r="P4" s="77"/>
      <c r="Q4" s="78"/>
      <c r="R4" s="77"/>
      <c r="S4" s="78"/>
      <c r="T4" s="77"/>
      <c r="U4" s="78"/>
      <c r="V4" s="77"/>
      <c r="W4" s="78"/>
      <c r="X4" s="77"/>
      <c r="Y4" s="78"/>
      <c r="Z4" s="77"/>
      <c r="AA4" s="78"/>
      <c r="AB4" s="77"/>
      <c r="AC4" s="78"/>
      <c r="AD4" s="120"/>
      <c r="AE4" s="120"/>
      <c r="AF4" s="120"/>
    </row>
    <row r="5" spans="1:32" s="106" customFormat="1">
      <c r="A5" s="64" t="s">
        <v>112</v>
      </c>
      <c r="B5" s="7">
        <v>2</v>
      </c>
      <c r="C5" s="7">
        <v>2</v>
      </c>
      <c r="D5" s="7">
        <f t="shared" ref="D5:D34" si="0">2*(B5+C5)</f>
        <v>8</v>
      </c>
      <c r="E5" s="7">
        <f t="shared" ref="E5:E34" si="1">D5-(F5+H5+J5+L5+N5+P5+R5+T5+V5+X5+Z5+AB5)</f>
        <v>7.2</v>
      </c>
      <c r="F5" s="75">
        <v>0.8</v>
      </c>
      <c r="G5" s="76">
        <v>2.1</v>
      </c>
      <c r="H5" s="77"/>
      <c r="I5" s="78"/>
      <c r="J5" s="77"/>
      <c r="K5" s="78"/>
      <c r="L5" s="77"/>
      <c r="M5" s="78"/>
      <c r="N5" s="77"/>
      <c r="O5" s="78"/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D5" s="120"/>
      <c r="AE5" s="120"/>
      <c r="AF5" s="120"/>
    </row>
    <row r="6" spans="1:32" s="106" customFormat="1">
      <c r="A6" s="64" t="s">
        <v>113</v>
      </c>
      <c r="B6" s="7">
        <v>2</v>
      </c>
      <c r="C6" s="7">
        <v>1.6</v>
      </c>
      <c r="D6" s="7">
        <f t="shared" si="0"/>
        <v>7.2</v>
      </c>
      <c r="E6" s="7">
        <f t="shared" si="1"/>
        <v>6.4</v>
      </c>
      <c r="F6" s="75">
        <v>0.8</v>
      </c>
      <c r="G6" s="76">
        <v>2.1</v>
      </c>
      <c r="H6" s="77"/>
      <c r="I6" s="78"/>
      <c r="J6" s="77"/>
      <c r="K6" s="78"/>
      <c r="L6" s="77"/>
      <c r="M6" s="78"/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D6" s="120"/>
      <c r="AE6" s="120"/>
      <c r="AF6" s="120"/>
    </row>
    <row r="7" spans="1:32" s="106" customFormat="1">
      <c r="A7" s="64" t="s">
        <v>141</v>
      </c>
      <c r="B7" s="7">
        <v>7.05</v>
      </c>
      <c r="C7" s="7">
        <v>5.32</v>
      </c>
      <c r="D7" s="7">
        <f t="shared" si="0"/>
        <v>24.740000000000002</v>
      </c>
      <c r="E7" s="7">
        <f t="shared" si="1"/>
        <v>23.94</v>
      </c>
      <c r="F7" s="75">
        <v>0.8</v>
      </c>
      <c r="G7" s="76">
        <v>2.1</v>
      </c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D7" s="120"/>
      <c r="AE7" s="120"/>
      <c r="AF7" s="120"/>
    </row>
    <row r="8" spans="1:32" s="106" customFormat="1">
      <c r="A8" s="64" t="s">
        <v>142</v>
      </c>
      <c r="B8" s="7">
        <v>4.5</v>
      </c>
      <c r="C8" s="7">
        <v>3.3</v>
      </c>
      <c r="D8" s="7">
        <f t="shared" si="0"/>
        <v>15.6</v>
      </c>
      <c r="E8" s="7">
        <f t="shared" si="1"/>
        <v>14</v>
      </c>
      <c r="F8" s="75">
        <v>0.8</v>
      </c>
      <c r="G8" s="76">
        <v>2.1</v>
      </c>
      <c r="H8" s="75">
        <v>0.8</v>
      </c>
      <c r="I8" s="76">
        <v>2.1</v>
      </c>
      <c r="J8" s="77"/>
      <c r="K8" s="78"/>
      <c r="L8" s="77"/>
      <c r="M8" s="78"/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D8" s="120"/>
      <c r="AE8" s="120"/>
      <c r="AF8" s="120"/>
    </row>
    <row r="9" spans="1:32" s="106" customFormat="1">
      <c r="A9" s="64" t="s">
        <v>115</v>
      </c>
      <c r="B9" s="7">
        <v>4.55</v>
      </c>
      <c r="C9" s="7">
        <v>3.3</v>
      </c>
      <c r="D9" s="7">
        <f t="shared" si="0"/>
        <v>15.7</v>
      </c>
      <c r="E9" s="7">
        <f t="shared" si="1"/>
        <v>14.899999999999999</v>
      </c>
      <c r="F9" s="75">
        <v>0.8</v>
      </c>
      <c r="G9" s="76">
        <v>2.1</v>
      </c>
      <c r="H9" s="77"/>
      <c r="I9" s="78"/>
      <c r="J9" s="77"/>
      <c r="K9" s="78"/>
      <c r="L9" s="77"/>
      <c r="M9" s="78"/>
      <c r="N9" s="77"/>
      <c r="O9" s="78"/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  <c r="AD9" s="120"/>
      <c r="AE9" s="120"/>
      <c r="AF9" s="120"/>
    </row>
    <row r="10" spans="1:32" s="106" customFormat="1">
      <c r="A10" s="64" t="s">
        <v>116</v>
      </c>
      <c r="B10" s="7">
        <v>3.9</v>
      </c>
      <c r="C10" s="7">
        <v>2.95</v>
      </c>
      <c r="D10" s="7">
        <f t="shared" si="0"/>
        <v>13.7</v>
      </c>
      <c r="E10" s="7">
        <f t="shared" si="1"/>
        <v>12.6</v>
      </c>
      <c r="F10" s="75">
        <v>1.1000000000000001</v>
      </c>
      <c r="G10" s="76">
        <v>2.1</v>
      </c>
      <c r="H10" s="77"/>
      <c r="I10" s="78"/>
      <c r="J10" s="77"/>
      <c r="K10" s="78"/>
      <c r="L10" s="77"/>
      <c r="M10" s="78"/>
      <c r="N10" s="77"/>
      <c r="O10" s="78"/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D10" s="120"/>
      <c r="AE10" s="120"/>
      <c r="AF10" s="120"/>
    </row>
    <row r="11" spans="1:32" s="106" customFormat="1">
      <c r="A11" s="64" t="s">
        <v>117</v>
      </c>
      <c r="B11" s="7">
        <v>4</v>
      </c>
      <c r="C11" s="7">
        <v>3.55</v>
      </c>
      <c r="D11" s="7">
        <f t="shared" si="0"/>
        <v>15.1</v>
      </c>
      <c r="E11" s="7">
        <f t="shared" si="1"/>
        <v>13.1</v>
      </c>
      <c r="F11" s="75">
        <v>1.2</v>
      </c>
      <c r="G11" s="76">
        <v>2.1</v>
      </c>
      <c r="H11" s="75">
        <v>0.8</v>
      </c>
      <c r="I11" s="76">
        <v>2.1</v>
      </c>
      <c r="J11" s="77"/>
      <c r="K11" s="78"/>
      <c r="L11" s="77"/>
      <c r="M11" s="78"/>
      <c r="N11" s="77"/>
      <c r="O11" s="78"/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B11" s="77"/>
      <c r="AC11" s="78"/>
      <c r="AD11" s="120"/>
      <c r="AE11" s="120"/>
      <c r="AF11" s="120"/>
    </row>
    <row r="12" spans="1:32" s="106" customFormat="1">
      <c r="A12" s="64" t="s">
        <v>120</v>
      </c>
      <c r="B12" s="7">
        <v>1.8</v>
      </c>
      <c r="C12" s="7">
        <v>2.95</v>
      </c>
      <c r="D12" s="7">
        <f t="shared" si="0"/>
        <v>9.5</v>
      </c>
      <c r="E12" s="7">
        <f t="shared" si="1"/>
        <v>8.6999999999999993</v>
      </c>
      <c r="F12" s="75">
        <v>0.8</v>
      </c>
      <c r="G12" s="76">
        <v>2.1</v>
      </c>
      <c r="H12" s="77"/>
      <c r="I12" s="78"/>
      <c r="J12" s="77"/>
      <c r="K12" s="78"/>
      <c r="L12" s="77"/>
      <c r="M12" s="78"/>
      <c r="N12" s="77"/>
      <c r="O12" s="78"/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D12" s="120"/>
      <c r="AE12" s="120"/>
      <c r="AF12" s="120"/>
    </row>
    <row r="13" spans="1:32" s="106" customFormat="1">
      <c r="A13" s="64" t="s">
        <v>121</v>
      </c>
      <c r="B13" s="7">
        <v>2.0499999999999998</v>
      </c>
      <c r="C13" s="7">
        <v>2.95</v>
      </c>
      <c r="D13" s="7">
        <f t="shared" si="0"/>
        <v>10</v>
      </c>
      <c r="E13" s="7">
        <f t="shared" si="1"/>
        <v>9.1999999999999993</v>
      </c>
      <c r="F13" s="75">
        <v>0.8</v>
      </c>
      <c r="G13" s="76">
        <v>2.1</v>
      </c>
      <c r="H13" s="77"/>
      <c r="I13" s="78"/>
      <c r="J13" s="77"/>
      <c r="K13" s="78"/>
      <c r="L13" s="77"/>
      <c r="M13" s="78"/>
      <c r="N13" s="77"/>
      <c r="O13" s="78"/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D13" s="120"/>
      <c r="AE13" s="120"/>
      <c r="AF13" s="120"/>
    </row>
    <row r="14" spans="1:32" s="106" customFormat="1">
      <c r="A14" s="64" t="s">
        <v>123</v>
      </c>
      <c r="B14" s="7">
        <v>3.35</v>
      </c>
      <c r="C14" s="7">
        <v>2.95</v>
      </c>
      <c r="D14" s="7">
        <f t="shared" si="0"/>
        <v>12.600000000000001</v>
      </c>
      <c r="E14" s="7">
        <f t="shared" si="1"/>
        <v>11.8</v>
      </c>
      <c r="F14" s="75">
        <v>0.8</v>
      </c>
      <c r="G14" s="76">
        <v>2.1</v>
      </c>
      <c r="H14" s="77"/>
      <c r="I14" s="78"/>
      <c r="J14" s="77"/>
      <c r="K14" s="78"/>
      <c r="L14" s="77"/>
      <c r="M14" s="78"/>
      <c r="N14" s="77"/>
      <c r="O14" s="78"/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D14" s="120"/>
      <c r="AE14" s="120"/>
      <c r="AF14" s="120"/>
    </row>
    <row r="15" spans="1:32" s="106" customFormat="1">
      <c r="A15" s="64" t="s">
        <v>124</v>
      </c>
      <c r="B15" s="7">
        <v>5.0999999999999996</v>
      </c>
      <c r="C15" s="7">
        <v>4.0199999999999996</v>
      </c>
      <c r="D15" s="7">
        <f t="shared" si="0"/>
        <v>18.239999999999998</v>
      </c>
      <c r="E15" s="7">
        <f t="shared" si="1"/>
        <v>12.379999999999999</v>
      </c>
      <c r="F15" s="75">
        <v>1.48</v>
      </c>
      <c r="G15" s="76">
        <v>2.1</v>
      </c>
      <c r="H15" s="75">
        <v>1.48</v>
      </c>
      <c r="I15" s="76">
        <v>2.1</v>
      </c>
      <c r="J15" s="75">
        <v>2.1</v>
      </c>
      <c r="K15" s="76">
        <v>2.1</v>
      </c>
      <c r="L15" s="75">
        <v>0.8</v>
      </c>
      <c r="M15" s="76">
        <v>2.1</v>
      </c>
      <c r="N15" s="77"/>
      <c r="O15" s="78"/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D15" s="120"/>
      <c r="AE15" s="120"/>
      <c r="AF15" s="120"/>
    </row>
    <row r="16" spans="1:32" s="106" customFormat="1">
      <c r="A16" s="64" t="s">
        <v>125</v>
      </c>
      <c r="B16" s="7">
        <v>2.5</v>
      </c>
      <c r="C16" s="7">
        <v>4.42</v>
      </c>
      <c r="D16" s="7">
        <f t="shared" si="0"/>
        <v>13.84</v>
      </c>
      <c r="E16" s="7">
        <f t="shared" si="1"/>
        <v>13.04</v>
      </c>
      <c r="F16" s="75">
        <v>0.8</v>
      </c>
      <c r="G16" s="76">
        <v>2.1</v>
      </c>
      <c r="H16" s="77"/>
      <c r="I16" s="78"/>
      <c r="J16" s="77"/>
      <c r="K16" s="78"/>
      <c r="L16" s="77"/>
      <c r="M16" s="78"/>
      <c r="N16" s="77"/>
      <c r="O16" s="78"/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D16" s="120"/>
      <c r="AE16" s="120"/>
      <c r="AF16" s="120"/>
    </row>
    <row r="17" spans="1:32" s="106" customFormat="1">
      <c r="A17" s="64" t="s">
        <v>127</v>
      </c>
      <c r="B17" s="7">
        <v>2.5499999999999998</v>
      </c>
      <c r="C17" s="7">
        <v>4.42</v>
      </c>
      <c r="D17" s="7">
        <f t="shared" si="0"/>
        <v>13.94</v>
      </c>
      <c r="E17" s="7">
        <f t="shared" si="1"/>
        <v>13.139999999999999</v>
      </c>
      <c r="F17" s="75">
        <v>0.8</v>
      </c>
      <c r="G17" s="76">
        <v>2.1</v>
      </c>
      <c r="H17" s="77"/>
      <c r="I17" s="78"/>
      <c r="J17" s="77"/>
      <c r="K17" s="78"/>
      <c r="L17" s="77"/>
      <c r="M17" s="78"/>
      <c r="N17" s="77"/>
      <c r="O17" s="78"/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D17" s="120"/>
      <c r="AE17" s="120"/>
      <c r="AF17" s="120"/>
    </row>
    <row r="18" spans="1:32" s="106" customFormat="1">
      <c r="A18" s="64" t="s">
        <v>129</v>
      </c>
      <c r="B18" s="123"/>
      <c r="C18" s="123"/>
      <c r="D18" s="7">
        <v>21.4</v>
      </c>
      <c r="E18" s="7">
        <f t="shared" si="1"/>
        <v>20.599999999999998</v>
      </c>
      <c r="F18" s="75">
        <v>0.8</v>
      </c>
      <c r="G18" s="76">
        <v>2.1</v>
      </c>
      <c r="H18" s="77"/>
      <c r="I18" s="78"/>
      <c r="J18" s="77"/>
      <c r="K18" s="78"/>
      <c r="L18" s="77"/>
      <c r="M18" s="78"/>
      <c r="N18" s="77"/>
      <c r="O18" s="78"/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B18" s="77"/>
      <c r="AC18" s="78"/>
      <c r="AD18" s="120"/>
      <c r="AE18" s="120"/>
      <c r="AF18" s="120"/>
    </row>
    <row r="19" spans="1:32" s="106" customFormat="1">
      <c r="A19" s="64" t="s">
        <v>130</v>
      </c>
      <c r="B19" s="7">
        <v>2.5499999999999998</v>
      </c>
      <c r="C19" s="7">
        <v>4.9000000000000004</v>
      </c>
      <c r="D19" s="7">
        <f t="shared" si="0"/>
        <v>14.9</v>
      </c>
      <c r="E19" s="7">
        <f t="shared" si="1"/>
        <v>13.2</v>
      </c>
      <c r="F19" s="75">
        <v>0.8</v>
      </c>
      <c r="G19" s="76">
        <v>2.1</v>
      </c>
      <c r="H19" s="75">
        <v>0.9</v>
      </c>
      <c r="I19" s="76">
        <v>2.1</v>
      </c>
      <c r="J19" s="77"/>
      <c r="K19" s="78"/>
      <c r="L19" s="77"/>
      <c r="M19" s="78"/>
      <c r="N19" s="77"/>
      <c r="O19" s="78"/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D19" s="120"/>
      <c r="AE19" s="120"/>
      <c r="AF19" s="120"/>
    </row>
    <row r="20" spans="1:32" s="106" customFormat="1">
      <c r="A20" s="64" t="s">
        <v>144</v>
      </c>
      <c r="B20" s="7">
        <v>2.5499999999999998</v>
      </c>
      <c r="C20" s="7">
        <v>4.9000000000000004</v>
      </c>
      <c r="D20" s="7">
        <f t="shared" si="0"/>
        <v>14.9</v>
      </c>
      <c r="E20" s="7">
        <f t="shared" si="1"/>
        <v>14.1</v>
      </c>
      <c r="F20" s="75">
        <v>0.8</v>
      </c>
      <c r="G20" s="76">
        <v>2.1</v>
      </c>
      <c r="H20" s="77"/>
      <c r="I20" s="78"/>
      <c r="J20" s="77"/>
      <c r="K20" s="78"/>
      <c r="L20" s="77"/>
      <c r="M20" s="78"/>
      <c r="N20" s="77"/>
      <c r="O20" s="78"/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D20" s="120"/>
      <c r="AE20" s="120"/>
      <c r="AF20" s="120"/>
    </row>
    <row r="21" spans="1:32" s="106" customFormat="1">
      <c r="A21" s="64" t="s">
        <v>131</v>
      </c>
      <c r="B21" s="123"/>
      <c r="C21" s="123"/>
      <c r="D21" s="7">
        <v>14.9</v>
      </c>
      <c r="E21" s="7">
        <f t="shared" si="1"/>
        <v>14.1</v>
      </c>
      <c r="F21" s="75">
        <v>0.8</v>
      </c>
      <c r="G21" s="76">
        <v>2.1</v>
      </c>
      <c r="H21" s="77"/>
      <c r="I21" s="78"/>
      <c r="J21" s="77"/>
      <c r="K21" s="78"/>
      <c r="L21" s="77"/>
      <c r="M21" s="78"/>
      <c r="N21" s="77"/>
      <c r="O21" s="78"/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  <c r="AD21" s="120"/>
      <c r="AE21" s="120"/>
      <c r="AF21" s="120"/>
    </row>
    <row r="22" spans="1:32" s="106" customFormat="1">
      <c r="A22" s="64" t="s">
        <v>132</v>
      </c>
      <c r="B22" s="7">
        <v>2.2999999999999998</v>
      </c>
      <c r="C22" s="7">
        <v>2.2000000000000002</v>
      </c>
      <c r="D22" s="7">
        <f t="shared" si="0"/>
        <v>9</v>
      </c>
      <c r="E22" s="7">
        <f t="shared" si="1"/>
        <v>8.1999999999999993</v>
      </c>
      <c r="F22" s="75">
        <v>0.8</v>
      </c>
      <c r="G22" s="76">
        <v>2.1</v>
      </c>
      <c r="H22" s="77"/>
      <c r="I22" s="78"/>
      <c r="J22" s="77"/>
      <c r="K22" s="78"/>
      <c r="L22" s="77"/>
      <c r="M22" s="78"/>
      <c r="N22" s="77"/>
      <c r="O22" s="78"/>
      <c r="P22" s="77"/>
      <c r="Q22" s="78"/>
      <c r="R22" s="77"/>
      <c r="S22" s="78"/>
      <c r="T22" s="77"/>
      <c r="U22" s="78"/>
      <c r="V22" s="77"/>
      <c r="W22" s="78"/>
      <c r="X22" s="77"/>
      <c r="Y22" s="78"/>
      <c r="Z22" s="77"/>
      <c r="AA22" s="78"/>
      <c r="AB22" s="77"/>
      <c r="AC22" s="78"/>
      <c r="AD22" s="120"/>
      <c r="AE22" s="120"/>
      <c r="AF22" s="120"/>
    </row>
    <row r="23" spans="1:32" s="106" customFormat="1">
      <c r="A23" s="64" t="s">
        <v>133</v>
      </c>
      <c r="B23" s="7">
        <v>5.15</v>
      </c>
      <c r="C23" s="7">
        <v>2.2000000000000002</v>
      </c>
      <c r="D23" s="7">
        <f t="shared" si="0"/>
        <v>14.700000000000001</v>
      </c>
      <c r="E23" s="7">
        <f t="shared" si="1"/>
        <v>13.100000000000001</v>
      </c>
      <c r="F23" s="75">
        <v>0.8</v>
      </c>
      <c r="G23" s="76">
        <v>2.1</v>
      </c>
      <c r="H23" s="75">
        <v>0.8</v>
      </c>
      <c r="I23" s="76">
        <v>2.1</v>
      </c>
      <c r="J23" s="77"/>
      <c r="K23" s="78"/>
      <c r="L23" s="77"/>
      <c r="M23" s="78"/>
      <c r="N23" s="77"/>
      <c r="O23" s="78"/>
      <c r="P23" s="77"/>
      <c r="Q23" s="78"/>
      <c r="R23" s="77"/>
      <c r="S23" s="78"/>
      <c r="T23" s="77"/>
      <c r="U23" s="78"/>
      <c r="V23" s="77"/>
      <c r="W23" s="78"/>
      <c r="X23" s="77"/>
      <c r="Y23" s="78"/>
      <c r="Z23" s="77"/>
      <c r="AA23" s="78"/>
      <c r="AB23" s="77"/>
      <c r="AC23" s="78"/>
      <c r="AD23" s="120"/>
      <c r="AE23" s="120"/>
      <c r="AF23" s="120"/>
    </row>
    <row r="24" spans="1:32" s="106" customFormat="1">
      <c r="A24" s="64" t="s">
        <v>135</v>
      </c>
      <c r="B24" s="7">
        <v>4.75</v>
      </c>
      <c r="C24" s="7">
        <v>1.89</v>
      </c>
      <c r="D24" s="7">
        <f t="shared" si="0"/>
        <v>13.28</v>
      </c>
      <c r="E24" s="7">
        <f t="shared" si="1"/>
        <v>7.879999999999999</v>
      </c>
      <c r="F24" s="75">
        <v>0.8</v>
      </c>
      <c r="G24" s="76">
        <v>2.1</v>
      </c>
      <c r="H24" s="75">
        <v>0.8</v>
      </c>
      <c r="I24" s="76">
        <v>2.1</v>
      </c>
      <c r="J24" s="75">
        <v>0.8</v>
      </c>
      <c r="K24" s="76">
        <v>2.1</v>
      </c>
      <c r="L24" s="75">
        <v>0.9</v>
      </c>
      <c r="M24" s="76">
        <v>2.1</v>
      </c>
      <c r="N24" s="75">
        <v>0.9</v>
      </c>
      <c r="O24" s="76">
        <v>2.1</v>
      </c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5">
        <v>1.2</v>
      </c>
      <c r="AC24" s="76">
        <v>2.1</v>
      </c>
      <c r="AD24" s="120"/>
      <c r="AE24" s="120"/>
      <c r="AF24" s="120"/>
    </row>
    <row r="25" spans="1:32" s="106" customFormat="1">
      <c r="A25" s="64" t="s">
        <v>143</v>
      </c>
      <c r="B25" s="123"/>
      <c r="C25" s="123"/>
      <c r="D25" s="7">
        <v>63.03</v>
      </c>
      <c r="E25" s="7">
        <f t="shared" si="1"/>
        <v>46.129999999999995</v>
      </c>
      <c r="F25" s="75">
        <v>4.8</v>
      </c>
      <c r="G25" s="76">
        <v>2.65</v>
      </c>
      <c r="H25" s="75">
        <v>5</v>
      </c>
      <c r="I25" s="76">
        <v>2.65</v>
      </c>
      <c r="J25" s="75">
        <v>2.1</v>
      </c>
      <c r="K25" s="76">
        <v>2.1</v>
      </c>
      <c r="L25" s="75">
        <v>0.8</v>
      </c>
      <c r="M25" s="76">
        <v>2.1</v>
      </c>
      <c r="N25" s="75">
        <v>0.8</v>
      </c>
      <c r="O25" s="76">
        <v>2.1</v>
      </c>
      <c r="P25" s="75">
        <v>1.2</v>
      </c>
      <c r="Q25" s="76">
        <v>2.1</v>
      </c>
      <c r="R25" s="77"/>
      <c r="S25" s="78"/>
      <c r="T25" s="77"/>
      <c r="U25" s="78"/>
      <c r="V25" s="77"/>
      <c r="W25" s="78"/>
      <c r="X25" s="77"/>
      <c r="Y25" s="78"/>
      <c r="Z25" s="77"/>
      <c r="AA25" s="78"/>
      <c r="AB25" s="75">
        <v>2.2000000000000002</v>
      </c>
      <c r="AC25" s="76">
        <v>2.1</v>
      </c>
      <c r="AD25" s="120"/>
      <c r="AE25" s="120"/>
      <c r="AF25" s="120"/>
    </row>
    <row r="26" spans="1:32" s="106" customFormat="1">
      <c r="A26" s="64" t="s">
        <v>137</v>
      </c>
      <c r="B26" s="7">
        <v>1.95</v>
      </c>
      <c r="C26" s="7">
        <v>3.23</v>
      </c>
      <c r="D26" s="7">
        <f t="shared" si="0"/>
        <v>10.36</v>
      </c>
      <c r="E26" s="7">
        <f t="shared" si="1"/>
        <v>9.5599999999999987</v>
      </c>
      <c r="F26" s="75">
        <v>0.8</v>
      </c>
      <c r="G26" s="76">
        <v>2.1</v>
      </c>
      <c r="H26" s="77"/>
      <c r="I26" s="78"/>
      <c r="J26" s="77"/>
      <c r="K26" s="78"/>
      <c r="L26" s="77"/>
      <c r="M26" s="78"/>
      <c r="N26" s="77"/>
      <c r="O26" s="78"/>
      <c r="P26" s="77"/>
      <c r="Q26" s="78"/>
      <c r="R26" s="77"/>
      <c r="S26" s="78"/>
      <c r="T26" s="77"/>
      <c r="U26" s="78"/>
      <c r="V26" s="77"/>
      <c r="W26" s="78"/>
      <c r="X26" s="77"/>
      <c r="Y26" s="78"/>
      <c r="Z26" s="77"/>
      <c r="AA26" s="78"/>
      <c r="AB26" s="77"/>
      <c r="AC26" s="78"/>
      <c r="AD26" s="120"/>
      <c r="AE26" s="120"/>
      <c r="AF26" s="120"/>
    </row>
    <row r="27" spans="1:32" s="106" customFormat="1">
      <c r="A27" s="64" t="s">
        <v>138</v>
      </c>
      <c r="B27" s="7">
        <v>1.95</v>
      </c>
      <c r="C27" s="7">
        <v>2.15</v>
      </c>
      <c r="D27" s="7">
        <f t="shared" si="0"/>
        <v>8.1999999999999993</v>
      </c>
      <c r="E27" s="7">
        <f t="shared" si="1"/>
        <v>6.6</v>
      </c>
      <c r="F27" s="75">
        <v>0.8</v>
      </c>
      <c r="G27" s="76">
        <v>2.1</v>
      </c>
      <c r="H27" s="75">
        <v>0.8</v>
      </c>
      <c r="I27" s="76">
        <v>2.1</v>
      </c>
      <c r="J27" s="77"/>
      <c r="K27" s="78"/>
      <c r="L27" s="77"/>
      <c r="M27" s="78"/>
      <c r="N27" s="77"/>
      <c r="O27" s="78"/>
      <c r="P27" s="77"/>
      <c r="Q27" s="78"/>
      <c r="R27" s="77"/>
      <c r="S27" s="78"/>
      <c r="T27" s="77"/>
      <c r="U27" s="78"/>
      <c r="V27" s="77"/>
      <c r="W27" s="78"/>
      <c r="X27" s="77"/>
      <c r="Y27" s="78"/>
      <c r="Z27" s="77"/>
      <c r="AA27" s="78"/>
      <c r="AB27" s="77"/>
      <c r="AC27" s="78"/>
      <c r="AD27" s="120"/>
      <c r="AE27" s="120"/>
      <c r="AF27" s="120"/>
    </row>
    <row r="28" spans="1:32" s="106" customFormat="1">
      <c r="A28" s="64" t="s">
        <v>4</v>
      </c>
      <c r="B28" s="123"/>
      <c r="C28" s="123"/>
      <c r="D28" s="7">
        <v>134.11000000000001</v>
      </c>
      <c r="E28" s="7">
        <f>D28-(F28+H28+J28+L28+N28+P28+R28+T28+V28+X28+Z28+AB28)</f>
        <v>95.410000000000011</v>
      </c>
      <c r="F28" s="75">
        <f>18*0.8</f>
        <v>14.4</v>
      </c>
      <c r="G28" s="76">
        <v>2.1</v>
      </c>
      <c r="H28" s="75">
        <f>4*2.1</f>
        <v>8.4</v>
      </c>
      <c r="I28" s="76">
        <v>2.1</v>
      </c>
      <c r="J28" s="75">
        <f>7*1.1</f>
        <v>7.7000000000000011</v>
      </c>
      <c r="K28" s="76">
        <v>2.1</v>
      </c>
      <c r="L28" s="75">
        <v>1.2</v>
      </c>
      <c r="M28" s="76">
        <v>2.1</v>
      </c>
      <c r="N28" s="75">
        <f>2*0.9</f>
        <v>1.8</v>
      </c>
      <c r="O28" s="76">
        <v>2.1</v>
      </c>
      <c r="P28" s="75">
        <v>1.1000000000000001</v>
      </c>
      <c r="Q28" s="76">
        <v>2.1</v>
      </c>
      <c r="R28" s="77"/>
      <c r="S28" s="78"/>
      <c r="T28" s="77"/>
      <c r="U28" s="78"/>
      <c r="V28" s="77"/>
      <c r="W28" s="78"/>
      <c r="X28" s="77"/>
      <c r="Y28" s="78"/>
      <c r="Z28" s="77"/>
      <c r="AA28" s="78"/>
      <c r="AB28" s="75">
        <f>1.9+2.2</f>
        <v>4.0999999999999996</v>
      </c>
      <c r="AC28" s="76">
        <v>3.4</v>
      </c>
      <c r="AD28" s="120"/>
      <c r="AE28" s="120"/>
      <c r="AF28" s="120"/>
    </row>
    <row r="29" spans="1:32" s="106" customFormat="1">
      <c r="A29" s="64" t="s">
        <v>140</v>
      </c>
      <c r="B29" s="7">
        <v>2.35</v>
      </c>
      <c r="C29" s="7">
        <v>3.42</v>
      </c>
      <c r="D29" s="7">
        <f t="shared" si="0"/>
        <v>11.54</v>
      </c>
      <c r="E29" s="7">
        <f t="shared" si="1"/>
        <v>10.739999999999998</v>
      </c>
      <c r="F29" s="75">
        <v>0.8</v>
      </c>
      <c r="G29" s="76">
        <v>2.1</v>
      </c>
      <c r="H29" s="77"/>
      <c r="I29" s="78"/>
      <c r="J29" s="77"/>
      <c r="K29" s="78"/>
      <c r="L29" s="77"/>
      <c r="M29" s="78"/>
      <c r="N29" s="77"/>
      <c r="O29" s="78"/>
      <c r="P29" s="77"/>
      <c r="Q29" s="78"/>
      <c r="R29" s="77"/>
      <c r="S29" s="78"/>
      <c r="T29" s="77"/>
      <c r="U29" s="78"/>
      <c r="V29" s="77"/>
      <c r="W29" s="78"/>
      <c r="X29" s="77"/>
      <c r="Y29" s="78"/>
      <c r="Z29" s="77"/>
      <c r="AA29" s="78"/>
      <c r="AB29" s="77"/>
      <c r="AC29" s="78"/>
      <c r="AD29" s="120"/>
      <c r="AE29" s="120"/>
      <c r="AF29" s="120"/>
    </row>
    <row r="30" spans="1:32" s="106" customFormat="1">
      <c r="A30" s="64" t="s">
        <v>145</v>
      </c>
      <c r="B30" s="123"/>
      <c r="C30" s="123"/>
      <c r="D30" s="7">
        <v>45.7</v>
      </c>
      <c r="E30" s="7">
        <f t="shared" ref="E30:E32" si="2">D30-(F30+H30+J30+L30+N30+P30+R30+T30+V30+X30+Z30+AB30)</f>
        <v>42.800000000000004</v>
      </c>
      <c r="F30" s="75">
        <v>0.9</v>
      </c>
      <c r="G30" s="76">
        <v>2.1</v>
      </c>
      <c r="H30" s="75">
        <v>0.9</v>
      </c>
      <c r="I30" s="76">
        <v>2.1</v>
      </c>
      <c r="J30" s="75">
        <v>1.1000000000000001</v>
      </c>
      <c r="K30" s="76">
        <v>2.1</v>
      </c>
      <c r="L30" s="77"/>
      <c r="M30" s="78"/>
      <c r="N30" s="77"/>
      <c r="O30" s="78"/>
      <c r="P30" s="77"/>
      <c r="Q30" s="78"/>
      <c r="R30" s="77"/>
      <c r="S30" s="78"/>
      <c r="T30" s="77"/>
      <c r="U30" s="78"/>
      <c r="V30" s="77"/>
      <c r="W30" s="78"/>
      <c r="X30" s="77"/>
      <c r="Y30" s="78"/>
      <c r="Z30" s="77"/>
      <c r="AA30" s="78"/>
      <c r="AB30" s="77"/>
      <c r="AC30" s="78"/>
      <c r="AD30" s="120"/>
      <c r="AE30" s="120"/>
      <c r="AF30" s="120"/>
    </row>
    <row r="31" spans="1:32" s="106" customFormat="1">
      <c r="A31" s="64" t="s">
        <v>146</v>
      </c>
      <c r="B31" s="123"/>
      <c r="C31" s="123"/>
      <c r="D31" s="7">
        <v>33.200000000000003</v>
      </c>
      <c r="E31" s="7">
        <f t="shared" si="2"/>
        <v>30.000000000000004</v>
      </c>
      <c r="F31" s="75">
        <v>1.1000000000000001</v>
      </c>
      <c r="G31" s="76">
        <v>2.1</v>
      </c>
      <c r="H31" s="75">
        <v>2.1</v>
      </c>
      <c r="I31" s="76">
        <v>2.1</v>
      </c>
      <c r="J31" s="77"/>
      <c r="K31" s="78"/>
      <c r="L31" s="77"/>
      <c r="M31" s="78"/>
      <c r="N31" s="77"/>
      <c r="O31" s="78"/>
      <c r="P31" s="77"/>
      <c r="Q31" s="78"/>
      <c r="R31" s="77"/>
      <c r="S31" s="78"/>
      <c r="T31" s="77"/>
      <c r="U31" s="78"/>
      <c r="V31" s="77"/>
      <c r="W31" s="78"/>
      <c r="X31" s="77"/>
      <c r="Y31" s="78"/>
      <c r="Z31" s="77"/>
      <c r="AA31" s="78"/>
      <c r="AB31" s="77"/>
      <c r="AC31" s="78"/>
      <c r="AD31" s="120"/>
      <c r="AE31" s="120"/>
      <c r="AF31" s="120"/>
    </row>
    <row r="32" spans="1:32" s="106" customFormat="1">
      <c r="A32" s="64" t="s">
        <v>124</v>
      </c>
      <c r="B32" s="7">
        <v>3.45</v>
      </c>
      <c r="C32" s="7">
        <v>3.2</v>
      </c>
      <c r="D32" s="7">
        <f t="shared" ref="D32" si="3">2*(B32+C32)</f>
        <v>13.3</v>
      </c>
      <c r="E32" s="7">
        <f t="shared" si="2"/>
        <v>8</v>
      </c>
      <c r="F32" s="75">
        <v>1.1000000000000001</v>
      </c>
      <c r="G32" s="76">
        <v>2.1</v>
      </c>
      <c r="H32" s="75">
        <v>2.1</v>
      </c>
      <c r="I32" s="76">
        <v>2.1</v>
      </c>
      <c r="J32" s="75">
        <v>2.1</v>
      </c>
      <c r="K32" s="76">
        <v>2.1</v>
      </c>
      <c r="L32" s="77"/>
      <c r="M32" s="78"/>
      <c r="N32" s="77"/>
      <c r="O32" s="78"/>
      <c r="P32" s="77"/>
      <c r="Q32" s="78"/>
      <c r="R32" s="77"/>
      <c r="S32" s="78"/>
      <c r="T32" s="77"/>
      <c r="U32" s="78"/>
      <c r="V32" s="77"/>
      <c r="W32" s="78"/>
      <c r="X32" s="77"/>
      <c r="Y32" s="78"/>
      <c r="Z32" s="77"/>
      <c r="AA32" s="78"/>
      <c r="AB32" s="77"/>
      <c r="AC32" s="78"/>
      <c r="AD32" s="124"/>
      <c r="AE32" s="124"/>
      <c r="AF32" s="124"/>
    </row>
    <row r="33" spans="1:29" s="106" customFormat="1">
      <c r="A33" s="64" t="s">
        <v>148</v>
      </c>
      <c r="B33" s="7">
        <v>4.55</v>
      </c>
      <c r="C33" s="7">
        <v>2.35</v>
      </c>
      <c r="D33" s="7">
        <f t="shared" si="0"/>
        <v>13.8</v>
      </c>
      <c r="E33" s="7">
        <f t="shared" si="1"/>
        <v>12.700000000000001</v>
      </c>
      <c r="F33" s="75">
        <v>1.1000000000000001</v>
      </c>
      <c r="G33" s="76">
        <v>2.1</v>
      </c>
      <c r="H33" s="77"/>
      <c r="I33" s="78"/>
      <c r="J33" s="77"/>
      <c r="K33" s="78"/>
      <c r="L33" s="77"/>
      <c r="M33" s="78"/>
      <c r="N33" s="77"/>
      <c r="O33" s="78"/>
      <c r="P33" s="77"/>
      <c r="Q33" s="78"/>
      <c r="R33" s="77"/>
      <c r="S33" s="78"/>
      <c r="T33" s="77"/>
      <c r="U33" s="78"/>
      <c r="V33" s="77"/>
      <c r="W33" s="78"/>
      <c r="X33" s="77"/>
      <c r="Y33" s="78"/>
      <c r="Z33" s="77"/>
      <c r="AA33" s="78"/>
      <c r="AB33" s="77"/>
      <c r="AC33" s="78"/>
    </row>
    <row r="34" spans="1:29" s="106" customFormat="1">
      <c r="A34" s="64" t="s">
        <v>149</v>
      </c>
      <c r="B34" s="7">
        <v>3.78</v>
      </c>
      <c r="C34" s="7">
        <v>4.45</v>
      </c>
      <c r="D34" s="7">
        <f t="shared" si="0"/>
        <v>16.46</v>
      </c>
      <c r="E34" s="7">
        <f t="shared" si="1"/>
        <v>15.360000000000001</v>
      </c>
      <c r="F34" s="75">
        <v>1.1000000000000001</v>
      </c>
      <c r="G34" s="76">
        <v>2.1</v>
      </c>
      <c r="H34" s="77"/>
      <c r="I34" s="78"/>
      <c r="J34" s="77"/>
      <c r="K34" s="78"/>
      <c r="L34" s="77"/>
      <c r="M34" s="78"/>
      <c r="N34" s="77"/>
      <c r="O34" s="78"/>
      <c r="P34" s="77"/>
      <c r="Q34" s="78"/>
      <c r="R34" s="77"/>
      <c r="S34" s="78"/>
      <c r="T34" s="77"/>
      <c r="U34" s="78"/>
      <c r="V34" s="77"/>
      <c r="W34" s="78"/>
      <c r="X34" s="77"/>
      <c r="Y34" s="78"/>
      <c r="Z34" s="77"/>
      <c r="AA34" s="78"/>
      <c r="AB34" s="77"/>
      <c r="AC34" s="78"/>
    </row>
    <row r="35" spans="1:29" ht="9.9499999999999993" customHeight="1"/>
    <row r="36" spans="1:29">
      <c r="A36" s="72" t="s">
        <v>212</v>
      </c>
      <c r="B36" s="157">
        <f>SUM(E4:E34)</f>
        <v>560.08000000000004</v>
      </c>
      <c r="C36" s="158"/>
      <c r="D36" s="73"/>
    </row>
    <row r="41" spans="1:29">
      <c r="A41" s="147" t="s">
        <v>418</v>
      </c>
      <c r="B41" s="147"/>
      <c r="C41" s="147"/>
      <c r="D41" s="3"/>
      <c r="E41" s="3"/>
      <c r="F41" s="147" t="s">
        <v>6</v>
      </c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</row>
    <row r="42" spans="1:29">
      <c r="B42" s="3"/>
      <c r="C42" s="3"/>
      <c r="D42" s="3"/>
      <c r="E42" s="3"/>
      <c r="F42" s="148" t="s">
        <v>15</v>
      </c>
      <c r="G42" s="149"/>
      <c r="H42" s="148" t="s">
        <v>16</v>
      </c>
      <c r="I42" s="149"/>
      <c r="J42" s="148" t="s">
        <v>17</v>
      </c>
      <c r="K42" s="149"/>
      <c r="L42" s="147" t="s">
        <v>18</v>
      </c>
      <c r="M42" s="147"/>
      <c r="N42" s="147" t="s">
        <v>19</v>
      </c>
      <c r="O42" s="147"/>
      <c r="P42" s="147" t="s">
        <v>20</v>
      </c>
      <c r="Q42" s="147"/>
      <c r="R42" s="148" t="s">
        <v>220</v>
      </c>
      <c r="S42" s="149"/>
      <c r="T42" s="147" t="s">
        <v>221</v>
      </c>
      <c r="U42" s="147"/>
      <c r="V42" s="147" t="s">
        <v>222</v>
      </c>
      <c r="W42" s="147"/>
      <c r="X42" s="147" t="s">
        <v>223</v>
      </c>
      <c r="Y42" s="147"/>
      <c r="Z42" s="147" t="s">
        <v>224</v>
      </c>
      <c r="AA42" s="147"/>
      <c r="AB42" s="147" t="s">
        <v>23</v>
      </c>
      <c r="AC42" s="147"/>
    </row>
    <row r="43" spans="1:29" ht="43.5">
      <c r="A43" s="1"/>
      <c r="B43" s="10" t="s">
        <v>7</v>
      </c>
      <c r="C43" s="10" t="s">
        <v>8</v>
      </c>
      <c r="D43" s="11" t="s">
        <v>2</v>
      </c>
      <c r="E43" s="19" t="s">
        <v>105</v>
      </c>
      <c r="F43" s="2" t="s">
        <v>10</v>
      </c>
      <c r="G43" s="2" t="s">
        <v>11</v>
      </c>
      <c r="H43" s="2" t="s">
        <v>10</v>
      </c>
      <c r="I43" s="2" t="s">
        <v>11</v>
      </c>
      <c r="J43" s="2" t="s">
        <v>10</v>
      </c>
      <c r="K43" s="2" t="s">
        <v>11</v>
      </c>
      <c r="L43" s="2" t="s">
        <v>10</v>
      </c>
      <c r="M43" s="2" t="s">
        <v>11</v>
      </c>
      <c r="N43" s="2" t="s">
        <v>10</v>
      </c>
      <c r="O43" s="2" t="s">
        <v>11</v>
      </c>
      <c r="P43" s="2" t="s">
        <v>10</v>
      </c>
      <c r="Q43" s="2" t="s">
        <v>11</v>
      </c>
      <c r="R43" s="2" t="s">
        <v>10</v>
      </c>
      <c r="S43" s="2" t="s">
        <v>11</v>
      </c>
      <c r="T43" s="2" t="s">
        <v>10</v>
      </c>
      <c r="U43" s="2" t="s">
        <v>11</v>
      </c>
      <c r="V43" s="2" t="s">
        <v>10</v>
      </c>
      <c r="W43" s="2" t="s">
        <v>11</v>
      </c>
      <c r="X43" s="2" t="s">
        <v>10</v>
      </c>
      <c r="Y43" s="2" t="s">
        <v>11</v>
      </c>
      <c r="Z43" s="2" t="s">
        <v>10</v>
      </c>
      <c r="AA43" s="2" t="s">
        <v>11</v>
      </c>
      <c r="AB43" s="2" t="s">
        <v>10</v>
      </c>
      <c r="AC43" s="2" t="s">
        <v>11</v>
      </c>
    </row>
    <row r="44" spans="1:29">
      <c r="A44" s="72" t="s">
        <v>151</v>
      </c>
      <c r="B44" s="6">
        <v>2.17</v>
      </c>
      <c r="C44" s="6">
        <v>12.7</v>
      </c>
      <c r="D44" s="7">
        <f t="shared" ref="D44:D45" si="4">2*(B44+C44)</f>
        <v>29.74</v>
      </c>
      <c r="E44" s="7">
        <f t="shared" ref="E44:E45" si="5">D44-(F44+H44+J44+L44+N44+P44+R44+T44+V44+X44+Z44+AB44)</f>
        <v>28.939999999999998</v>
      </c>
      <c r="F44" s="15">
        <v>0.8</v>
      </c>
      <c r="G44" s="16">
        <v>2.1</v>
      </c>
      <c r="H44" s="17"/>
      <c r="I44" s="18"/>
      <c r="J44" s="17"/>
      <c r="K44" s="18"/>
      <c r="L44" s="17"/>
      <c r="M44" s="18"/>
      <c r="N44" s="17"/>
      <c r="O44" s="18"/>
      <c r="P44" s="17"/>
      <c r="Q44" s="18"/>
      <c r="R44" s="17"/>
      <c r="S44" s="18"/>
      <c r="T44" s="17"/>
      <c r="U44" s="18"/>
      <c r="V44" s="17"/>
      <c r="W44" s="18"/>
      <c r="X44" s="17"/>
      <c r="Y44" s="18"/>
      <c r="Z44" s="17"/>
      <c r="AA44" s="18"/>
      <c r="AB44" s="17"/>
      <c r="AC44" s="18"/>
    </row>
    <row r="45" spans="1:29">
      <c r="A45" s="72" t="s">
        <v>153</v>
      </c>
      <c r="B45" s="6">
        <v>2.0499999999999998</v>
      </c>
      <c r="C45" s="6">
        <v>12.7</v>
      </c>
      <c r="D45" s="7">
        <f t="shared" si="4"/>
        <v>29.5</v>
      </c>
      <c r="E45" s="7">
        <f t="shared" si="5"/>
        <v>28.4</v>
      </c>
      <c r="F45" s="15">
        <v>1.1000000000000001</v>
      </c>
      <c r="G45" s="16">
        <v>2.1</v>
      </c>
      <c r="H45" s="17"/>
      <c r="I45" s="18"/>
      <c r="J45" s="17"/>
      <c r="K45" s="18"/>
      <c r="L45" s="17"/>
      <c r="M45" s="18"/>
      <c r="N45" s="17"/>
      <c r="O45" s="18"/>
      <c r="P45" s="17"/>
      <c r="Q45" s="18"/>
      <c r="R45" s="17"/>
      <c r="S45" s="18"/>
      <c r="T45" s="17"/>
      <c r="U45" s="18"/>
      <c r="V45" s="17"/>
      <c r="W45" s="18"/>
      <c r="X45" s="17"/>
      <c r="Y45" s="18"/>
      <c r="Z45" s="17"/>
      <c r="AA45" s="18"/>
      <c r="AB45" s="17"/>
      <c r="AC45" s="18"/>
    </row>
    <row r="46" spans="1:29" ht="9.9499999999999993" customHeight="1"/>
    <row r="47" spans="1:29">
      <c r="A47" s="71" t="s">
        <v>212</v>
      </c>
      <c r="B47" s="157">
        <f>SUM(E44:E45)</f>
        <v>57.339999999999996</v>
      </c>
      <c r="C47" s="158"/>
      <c r="D47" s="73"/>
      <c r="E47" s="5" t="s">
        <v>420</v>
      </c>
    </row>
    <row r="51" spans="1:29">
      <c r="A51" s="147" t="s">
        <v>419</v>
      </c>
      <c r="B51" s="147"/>
      <c r="C51" s="147"/>
      <c r="D51" s="3"/>
      <c r="E51" s="3"/>
      <c r="F51" s="147" t="s">
        <v>6</v>
      </c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</row>
    <row r="52" spans="1:29">
      <c r="B52" s="3"/>
      <c r="C52" s="3"/>
      <c r="D52" s="3"/>
      <c r="E52" s="3"/>
      <c r="F52" s="148" t="s">
        <v>15</v>
      </c>
      <c r="G52" s="149"/>
      <c r="H52" s="148" t="s">
        <v>16</v>
      </c>
      <c r="I52" s="149"/>
      <c r="J52" s="148" t="s">
        <v>17</v>
      </c>
      <c r="K52" s="149"/>
      <c r="L52" s="147" t="s">
        <v>18</v>
      </c>
      <c r="M52" s="147"/>
      <c r="N52" s="147" t="s">
        <v>19</v>
      </c>
      <c r="O52" s="147"/>
      <c r="P52" s="147" t="s">
        <v>20</v>
      </c>
      <c r="Q52" s="147"/>
      <c r="R52" s="148" t="s">
        <v>220</v>
      </c>
      <c r="S52" s="149"/>
      <c r="T52" s="147" t="s">
        <v>221</v>
      </c>
      <c r="U52" s="147"/>
      <c r="V52" s="147" t="s">
        <v>222</v>
      </c>
      <c r="W52" s="147"/>
      <c r="X52" s="147" t="s">
        <v>223</v>
      </c>
      <c r="Y52" s="147"/>
      <c r="Z52" s="147" t="s">
        <v>224</v>
      </c>
      <c r="AA52" s="147"/>
      <c r="AB52" s="147" t="s">
        <v>23</v>
      </c>
      <c r="AC52" s="147"/>
    </row>
    <row r="53" spans="1:29" ht="43.5">
      <c r="A53" s="1"/>
      <c r="B53" s="10" t="s">
        <v>7</v>
      </c>
      <c r="C53" s="10" t="s">
        <v>8</v>
      </c>
      <c r="D53" s="11" t="s">
        <v>2</v>
      </c>
      <c r="E53" s="19" t="s">
        <v>105</v>
      </c>
      <c r="F53" s="2" t="s">
        <v>10</v>
      </c>
      <c r="G53" s="2" t="s">
        <v>11</v>
      </c>
      <c r="H53" s="2" t="s">
        <v>10</v>
      </c>
      <c r="I53" s="2" t="s">
        <v>11</v>
      </c>
      <c r="J53" s="2" t="s">
        <v>10</v>
      </c>
      <c r="K53" s="2" t="s">
        <v>11</v>
      </c>
      <c r="L53" s="2" t="s">
        <v>10</v>
      </c>
      <c r="M53" s="2" t="s">
        <v>11</v>
      </c>
      <c r="N53" s="2" t="s">
        <v>10</v>
      </c>
      <c r="O53" s="2" t="s">
        <v>11</v>
      </c>
      <c r="P53" s="2" t="s">
        <v>10</v>
      </c>
      <c r="Q53" s="2" t="s">
        <v>11</v>
      </c>
      <c r="R53" s="2" t="s">
        <v>10</v>
      </c>
      <c r="S53" s="2" t="s">
        <v>11</v>
      </c>
      <c r="T53" s="2" t="s">
        <v>10</v>
      </c>
      <c r="U53" s="2" t="s">
        <v>11</v>
      </c>
      <c r="V53" s="2" t="s">
        <v>10</v>
      </c>
      <c r="W53" s="2" t="s">
        <v>11</v>
      </c>
      <c r="X53" s="2" t="s">
        <v>10</v>
      </c>
      <c r="Y53" s="2" t="s">
        <v>11</v>
      </c>
      <c r="Z53" s="2" t="s">
        <v>10</v>
      </c>
      <c r="AA53" s="2" t="s">
        <v>11</v>
      </c>
      <c r="AB53" s="2" t="s">
        <v>10</v>
      </c>
      <c r="AC53" s="2" t="s">
        <v>11</v>
      </c>
    </row>
    <row r="54" spans="1:29">
      <c r="A54" s="72" t="s">
        <v>139</v>
      </c>
      <c r="B54" s="9"/>
      <c r="C54" s="9"/>
      <c r="D54" s="7">
        <v>27.06</v>
      </c>
      <c r="E54" s="7">
        <f>D54+(21*0.18)-(F54+H54+J54+L54+N54+P54+R54+T54+V54+X54+Z54+AB54)</f>
        <v>27.31</v>
      </c>
      <c r="F54" s="75">
        <v>1.33</v>
      </c>
      <c r="G54" s="76">
        <v>2.1</v>
      </c>
      <c r="H54" s="77"/>
      <c r="I54" s="78"/>
      <c r="J54" s="77"/>
      <c r="K54" s="78"/>
      <c r="L54" s="77"/>
      <c r="M54" s="78"/>
      <c r="N54" s="77"/>
      <c r="O54" s="78"/>
      <c r="P54" s="77"/>
      <c r="Q54" s="78"/>
      <c r="R54" s="77"/>
      <c r="S54" s="78"/>
      <c r="T54" s="77"/>
      <c r="U54" s="78"/>
      <c r="V54" s="77"/>
      <c r="W54" s="78"/>
      <c r="X54" s="77"/>
      <c r="Y54" s="78"/>
      <c r="Z54" s="77"/>
      <c r="AA54" s="78"/>
      <c r="AB54" s="15">
        <v>2.2000000000000002</v>
      </c>
      <c r="AC54" s="16">
        <v>2.1</v>
      </c>
    </row>
    <row r="55" spans="1:29">
      <c r="A55" s="72" t="s">
        <v>150</v>
      </c>
      <c r="B55" s="6">
        <v>7.48</v>
      </c>
      <c r="C55" s="6">
        <v>4.4000000000000004</v>
      </c>
      <c r="D55" s="7">
        <f t="shared" ref="D55" si="6">2*(B55+C55)</f>
        <v>23.76</v>
      </c>
      <c r="E55" s="7">
        <f>D55+(21*0.18)-(F55+H55+J55+L55+N55+P55+R55+T55+V55+X55+Z55+AB55)</f>
        <v>25.44</v>
      </c>
      <c r="F55" s="15">
        <v>2.1</v>
      </c>
      <c r="G55" s="16">
        <v>2.1</v>
      </c>
      <c r="H55" s="77"/>
      <c r="I55" s="78"/>
      <c r="J55" s="77"/>
      <c r="K55" s="78"/>
      <c r="L55" s="77"/>
      <c r="M55" s="78"/>
      <c r="N55" s="77"/>
      <c r="O55" s="78"/>
      <c r="P55" s="77"/>
      <c r="Q55" s="78"/>
      <c r="R55" s="77"/>
      <c r="S55" s="78"/>
      <c r="T55" s="77"/>
      <c r="U55" s="78"/>
      <c r="V55" s="77"/>
      <c r="W55" s="78"/>
      <c r="X55" s="77"/>
      <c r="Y55" s="78"/>
      <c r="Z55" s="77"/>
      <c r="AA55" s="78"/>
      <c r="AB55" s="77"/>
      <c r="AC55" s="78"/>
    </row>
    <row r="56" spans="1:29" ht="9.9499999999999993" customHeight="1"/>
    <row r="57" spans="1:29">
      <c r="A57" s="71" t="s">
        <v>212</v>
      </c>
      <c r="B57" s="157">
        <f>SUM(E54:E55)</f>
        <v>52.75</v>
      </c>
      <c r="C57" s="158"/>
      <c r="D57" s="73"/>
    </row>
  </sheetData>
  <mergeCells count="45">
    <mergeCell ref="A1:C1"/>
    <mergeCell ref="A41:C41"/>
    <mergeCell ref="A51:C51"/>
    <mergeCell ref="AB42:AC42"/>
    <mergeCell ref="B47:C47"/>
    <mergeCell ref="F51:AC51"/>
    <mergeCell ref="Z2:AA2"/>
    <mergeCell ref="AB2:AC2"/>
    <mergeCell ref="F1:AC1"/>
    <mergeCell ref="F41:AC41"/>
    <mergeCell ref="V2:W2"/>
    <mergeCell ref="X2:Y2"/>
    <mergeCell ref="F52:G52"/>
    <mergeCell ref="H52:I52"/>
    <mergeCell ref="J52:K52"/>
    <mergeCell ref="L52:M52"/>
    <mergeCell ref="N52:O52"/>
    <mergeCell ref="Z52:AA52"/>
    <mergeCell ref="AB52:AC52"/>
    <mergeCell ref="P42:Q42"/>
    <mergeCell ref="T42:U42"/>
    <mergeCell ref="V42:W42"/>
    <mergeCell ref="Z42:AA42"/>
    <mergeCell ref="X42:Y42"/>
    <mergeCell ref="P52:Q52"/>
    <mergeCell ref="R52:S52"/>
    <mergeCell ref="T52:U52"/>
    <mergeCell ref="V52:W52"/>
    <mergeCell ref="X52:Y52"/>
    <mergeCell ref="B57:C57"/>
    <mergeCell ref="P2:Q2"/>
    <mergeCell ref="R2:S2"/>
    <mergeCell ref="T2:U2"/>
    <mergeCell ref="B36:C36"/>
    <mergeCell ref="F2:G2"/>
    <mergeCell ref="H2:I2"/>
    <mergeCell ref="J2:K2"/>
    <mergeCell ref="L2:M2"/>
    <mergeCell ref="N2:O2"/>
    <mergeCell ref="F42:G42"/>
    <mergeCell ref="H42:I42"/>
    <mergeCell ref="J42:K42"/>
    <mergeCell ref="L42:M42"/>
    <mergeCell ref="N42:O42"/>
    <mergeCell ref="R42:S4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Plan33">
    <tabColor rgb="FF00FF00"/>
  </sheetPr>
  <dimension ref="A1:AR56"/>
  <sheetViews>
    <sheetView view="pageBreakPreview" zoomScale="85" zoomScaleNormal="85" zoomScaleSheetLayoutView="85" workbookViewId="0">
      <pane ySplit="6" topLeftCell="A7" activePane="bottomLeft" state="frozenSplit"/>
      <selection pane="bottomLeft" activeCell="AM10" sqref="AM10:AN10"/>
    </sheetView>
  </sheetViews>
  <sheetFormatPr defaultRowHeight="15"/>
  <cols>
    <col min="1" max="1" width="12.7109375" style="5" customWidth="1"/>
    <col min="2" max="20" width="10.28515625" style="5" hidden="1" customWidth="1"/>
    <col min="21" max="21" width="3.7109375" style="5" hidden="1" customWidth="1"/>
    <col min="22" max="44" width="10.28515625" style="5" customWidth="1"/>
    <col min="45" max="16384" width="9.140625" style="5"/>
  </cols>
  <sheetData>
    <row r="1" spans="1:44">
      <c r="B1" s="137" t="s">
        <v>225</v>
      </c>
      <c r="C1" s="137" t="s">
        <v>226</v>
      </c>
      <c r="D1" s="137" t="s">
        <v>227</v>
      </c>
      <c r="E1" s="137" t="s">
        <v>228</v>
      </c>
      <c r="F1" s="137" t="s">
        <v>229</v>
      </c>
      <c r="G1" s="137" t="s">
        <v>230</v>
      </c>
      <c r="H1" s="137" t="s">
        <v>231</v>
      </c>
      <c r="I1" s="137" t="s">
        <v>232</v>
      </c>
      <c r="J1" s="137" t="s">
        <v>233</v>
      </c>
      <c r="K1" s="137" t="s">
        <v>234</v>
      </c>
      <c r="L1" s="137" t="s">
        <v>235</v>
      </c>
      <c r="M1" s="137" t="s">
        <v>236</v>
      </c>
      <c r="N1" s="137" t="s">
        <v>237</v>
      </c>
      <c r="O1" s="137" t="s">
        <v>238</v>
      </c>
      <c r="P1" s="137" t="s">
        <v>239</v>
      </c>
      <c r="Q1" s="137" t="s">
        <v>240</v>
      </c>
      <c r="R1" s="137" t="s">
        <v>477</v>
      </c>
      <c r="S1" s="137" t="s">
        <v>478</v>
      </c>
      <c r="T1" s="145" t="s">
        <v>495</v>
      </c>
      <c r="U1" s="3"/>
      <c r="V1" s="136" t="s">
        <v>241</v>
      </c>
      <c r="W1" s="136" t="s">
        <v>242</v>
      </c>
      <c r="X1" s="136" t="s">
        <v>243</v>
      </c>
      <c r="Y1" s="136" t="s">
        <v>244</v>
      </c>
      <c r="Z1" s="136" t="s">
        <v>245</v>
      </c>
      <c r="AA1" s="136" t="s">
        <v>246</v>
      </c>
      <c r="AB1" s="136" t="s">
        <v>247</v>
      </c>
      <c r="AC1" s="136" t="s">
        <v>248</v>
      </c>
      <c r="AD1" s="136" t="s">
        <v>249</v>
      </c>
      <c r="AE1" s="136" t="s">
        <v>250</v>
      </c>
      <c r="AF1" s="136" t="s">
        <v>251</v>
      </c>
      <c r="AG1" s="136" t="s">
        <v>252</v>
      </c>
      <c r="AH1" s="136" t="s">
        <v>253</v>
      </c>
      <c r="AI1" s="136" t="s">
        <v>461</v>
      </c>
      <c r="AJ1" s="136" t="s">
        <v>462</v>
      </c>
      <c r="AK1" s="136" t="s">
        <v>463</v>
      </c>
      <c r="AL1" s="136" t="s">
        <v>464</v>
      </c>
      <c r="AM1" s="136" t="s">
        <v>465</v>
      </c>
      <c r="AN1" s="136" t="s">
        <v>466</v>
      </c>
      <c r="AO1" s="136" t="s">
        <v>467</v>
      </c>
      <c r="AP1" s="138" t="s">
        <v>483</v>
      </c>
      <c r="AQ1" s="144" t="s">
        <v>494</v>
      </c>
      <c r="AR1" s="146" t="s">
        <v>498</v>
      </c>
    </row>
    <row r="2" spans="1:44">
      <c r="B2" s="81" t="s">
        <v>497</v>
      </c>
      <c r="C2" s="81" t="s">
        <v>292</v>
      </c>
      <c r="D2" s="81" t="s">
        <v>254</v>
      </c>
      <c r="E2" s="81" t="s">
        <v>293</v>
      </c>
      <c r="F2" s="81" t="s">
        <v>294</v>
      </c>
      <c r="G2" s="81" t="s">
        <v>255</v>
      </c>
      <c r="H2" s="81" t="s">
        <v>256</v>
      </c>
      <c r="I2" s="81" t="s">
        <v>295</v>
      </c>
      <c r="J2" s="81" t="s">
        <v>258</v>
      </c>
      <c r="K2" s="81" t="s">
        <v>259</v>
      </c>
      <c r="L2" s="81" t="s">
        <v>260</v>
      </c>
      <c r="M2" s="81" t="s">
        <v>261</v>
      </c>
      <c r="N2" s="81" t="s">
        <v>257</v>
      </c>
      <c r="O2" s="81" t="s">
        <v>296</v>
      </c>
      <c r="P2" s="81" t="s">
        <v>297</v>
      </c>
      <c r="Q2" s="81" t="s">
        <v>298</v>
      </c>
      <c r="R2" s="81" t="s">
        <v>479</v>
      </c>
      <c r="S2" s="81" t="s">
        <v>260</v>
      </c>
      <c r="T2" s="81" t="s">
        <v>496</v>
      </c>
      <c r="U2" s="82"/>
      <c r="V2" s="81" t="s">
        <v>297</v>
      </c>
      <c r="W2" s="81" t="s">
        <v>302</v>
      </c>
      <c r="X2" s="81" t="s">
        <v>262</v>
      </c>
      <c r="Y2" s="81" t="s">
        <v>263</v>
      </c>
      <c r="Z2" s="81" t="s">
        <v>268</v>
      </c>
      <c r="AA2" s="81" t="s">
        <v>264</v>
      </c>
      <c r="AB2" s="81" t="s">
        <v>468</v>
      </c>
      <c r="AC2" s="81" t="s">
        <v>265</v>
      </c>
      <c r="AD2" s="81" t="s">
        <v>266</v>
      </c>
      <c r="AE2" s="81" t="s">
        <v>267</v>
      </c>
      <c r="AF2" s="81" t="s">
        <v>268</v>
      </c>
      <c r="AG2" s="81" t="s">
        <v>269</v>
      </c>
      <c r="AH2" s="81" t="s">
        <v>263</v>
      </c>
      <c r="AI2" s="81" t="s">
        <v>263</v>
      </c>
      <c r="AJ2" s="81" t="s">
        <v>469</v>
      </c>
      <c r="AK2" s="81" t="s">
        <v>470</v>
      </c>
      <c r="AL2" s="81" t="s">
        <v>471</v>
      </c>
      <c r="AM2" s="81" t="s">
        <v>472</v>
      </c>
      <c r="AN2" s="81" t="s">
        <v>264</v>
      </c>
      <c r="AO2" s="81" t="s">
        <v>262</v>
      </c>
      <c r="AP2" s="81" t="s">
        <v>263</v>
      </c>
      <c r="AQ2" s="81" t="s">
        <v>264</v>
      </c>
      <c r="AR2" s="81" t="s">
        <v>499</v>
      </c>
    </row>
    <row r="3" spans="1:44">
      <c r="B3" s="83" t="s">
        <v>270</v>
      </c>
      <c r="C3" s="83" t="s">
        <v>271</v>
      </c>
      <c r="D3" s="83" t="s">
        <v>271</v>
      </c>
      <c r="E3" s="83" t="s">
        <v>271</v>
      </c>
      <c r="F3" s="83" t="s">
        <v>271</v>
      </c>
      <c r="G3" s="83" t="s">
        <v>271</v>
      </c>
      <c r="H3" s="83" t="s">
        <v>271</v>
      </c>
      <c r="I3" s="83" t="s">
        <v>299</v>
      </c>
      <c r="J3" s="83" t="s">
        <v>271</v>
      </c>
      <c r="K3" s="83" t="s">
        <v>271</v>
      </c>
      <c r="L3" s="83" t="s">
        <v>272</v>
      </c>
      <c r="M3" s="83" t="s">
        <v>272</v>
      </c>
      <c r="N3" s="83" t="s">
        <v>271</v>
      </c>
      <c r="O3" s="83" t="s">
        <v>300</v>
      </c>
      <c r="P3" s="83" t="s">
        <v>270</v>
      </c>
      <c r="Q3" s="83" t="s">
        <v>271</v>
      </c>
      <c r="R3" s="83" t="s">
        <v>271</v>
      </c>
      <c r="S3" s="83" t="s">
        <v>272</v>
      </c>
      <c r="T3" s="83" t="s">
        <v>270</v>
      </c>
      <c r="U3" s="82"/>
      <c r="V3" s="83" t="s">
        <v>273</v>
      </c>
      <c r="W3" s="83" t="s">
        <v>273</v>
      </c>
      <c r="X3" s="83" t="s">
        <v>275</v>
      </c>
      <c r="Y3" s="83" t="s">
        <v>274</v>
      </c>
      <c r="Z3" s="83" t="s">
        <v>274</v>
      </c>
      <c r="AA3" s="83" t="s">
        <v>274</v>
      </c>
      <c r="AB3" s="83" t="s">
        <v>274</v>
      </c>
      <c r="AC3" s="83" t="s">
        <v>274</v>
      </c>
      <c r="AD3" s="83" t="s">
        <v>275</v>
      </c>
      <c r="AE3" s="83" t="s">
        <v>273</v>
      </c>
      <c r="AF3" s="83" t="s">
        <v>274</v>
      </c>
      <c r="AG3" s="83" t="s">
        <v>274</v>
      </c>
      <c r="AH3" s="83" t="s">
        <v>274</v>
      </c>
      <c r="AI3" s="83" t="s">
        <v>274</v>
      </c>
      <c r="AJ3" s="83" t="s">
        <v>274</v>
      </c>
      <c r="AK3" s="83" t="s">
        <v>274</v>
      </c>
      <c r="AL3" s="83" t="s">
        <v>274</v>
      </c>
      <c r="AM3" s="83" t="s">
        <v>274</v>
      </c>
      <c r="AN3" s="83" t="s">
        <v>274</v>
      </c>
      <c r="AO3" s="83" t="s">
        <v>275</v>
      </c>
      <c r="AP3" s="83" t="s">
        <v>274</v>
      </c>
      <c r="AQ3" s="83" t="s">
        <v>274</v>
      </c>
      <c r="AR3" s="83" t="s">
        <v>275</v>
      </c>
    </row>
    <row r="4" spans="1:44">
      <c r="B4" s="83" t="s">
        <v>276</v>
      </c>
      <c r="C4" s="83" t="s">
        <v>277</v>
      </c>
      <c r="D4" s="83" t="s">
        <v>277</v>
      </c>
      <c r="E4" s="83" t="s">
        <v>277</v>
      </c>
      <c r="F4" s="83" t="s">
        <v>277</v>
      </c>
      <c r="G4" s="83" t="s">
        <v>277</v>
      </c>
      <c r="H4" s="83" t="s">
        <v>277</v>
      </c>
      <c r="I4" s="83" t="s">
        <v>277</v>
      </c>
      <c r="J4" s="83" t="s">
        <v>277</v>
      </c>
      <c r="K4" s="83" t="s">
        <v>277</v>
      </c>
      <c r="L4" s="83" t="s">
        <v>277</v>
      </c>
      <c r="M4" s="83" t="s">
        <v>278</v>
      </c>
      <c r="N4" s="83" t="s">
        <v>277</v>
      </c>
      <c r="O4" s="83" t="s">
        <v>277</v>
      </c>
      <c r="P4" s="83" t="s">
        <v>277</v>
      </c>
      <c r="Q4" s="83" t="s">
        <v>277</v>
      </c>
      <c r="R4" s="83" t="s">
        <v>277</v>
      </c>
      <c r="S4" s="83" t="s">
        <v>277</v>
      </c>
      <c r="T4" s="83" t="s">
        <v>277</v>
      </c>
      <c r="U4" s="82"/>
      <c r="V4" s="83" t="s">
        <v>106</v>
      </c>
      <c r="W4" s="83" t="s">
        <v>106</v>
      </c>
      <c r="X4" s="83" t="s">
        <v>107</v>
      </c>
      <c r="Y4" s="83" t="s">
        <v>107</v>
      </c>
      <c r="Z4" s="83" t="s">
        <v>107</v>
      </c>
      <c r="AA4" s="83" t="s">
        <v>107</v>
      </c>
      <c r="AB4" s="83" t="s">
        <v>106</v>
      </c>
      <c r="AC4" s="83" t="s">
        <v>106</v>
      </c>
      <c r="AD4" s="83" t="s">
        <v>107</v>
      </c>
      <c r="AE4" s="83" t="s">
        <v>106</v>
      </c>
      <c r="AF4" s="83" t="s">
        <v>107</v>
      </c>
      <c r="AG4" s="83" t="s">
        <v>107</v>
      </c>
      <c r="AH4" s="83" t="s">
        <v>107</v>
      </c>
      <c r="AI4" s="83" t="s">
        <v>107</v>
      </c>
      <c r="AJ4" s="83" t="s">
        <v>107</v>
      </c>
      <c r="AK4" s="83" t="s">
        <v>107</v>
      </c>
      <c r="AL4" s="83" t="s">
        <v>106</v>
      </c>
      <c r="AM4" s="83" t="s">
        <v>106</v>
      </c>
      <c r="AN4" s="83" t="s">
        <v>107</v>
      </c>
      <c r="AO4" s="83" t="s">
        <v>107</v>
      </c>
      <c r="AP4" s="83" t="s">
        <v>106</v>
      </c>
      <c r="AQ4" s="83" t="s">
        <v>107</v>
      </c>
      <c r="AR4" s="83" t="s">
        <v>107</v>
      </c>
    </row>
    <row r="5" spans="1:44" ht="15" customHeight="1">
      <c r="B5" s="163" t="s">
        <v>301</v>
      </c>
      <c r="C5" s="163" t="s">
        <v>301</v>
      </c>
      <c r="D5" s="163" t="s">
        <v>301</v>
      </c>
      <c r="E5" s="163" t="s">
        <v>480</v>
      </c>
      <c r="F5" s="163" t="s">
        <v>301</v>
      </c>
      <c r="G5" s="163" t="s">
        <v>301</v>
      </c>
      <c r="H5" s="163" t="s">
        <v>301</v>
      </c>
      <c r="I5" s="163" t="s">
        <v>279</v>
      </c>
      <c r="J5" s="163" t="s">
        <v>301</v>
      </c>
      <c r="K5" s="163" t="s">
        <v>301</v>
      </c>
      <c r="L5" s="163" t="s">
        <v>279</v>
      </c>
      <c r="M5" s="163" t="s">
        <v>280</v>
      </c>
      <c r="N5" s="163" t="s">
        <v>480</v>
      </c>
      <c r="O5" s="163" t="s">
        <v>301</v>
      </c>
      <c r="P5" s="163" t="s">
        <v>301</v>
      </c>
      <c r="Q5" s="163" t="s">
        <v>279</v>
      </c>
      <c r="R5" s="163" t="s">
        <v>301</v>
      </c>
      <c r="S5" s="163" t="s">
        <v>480</v>
      </c>
      <c r="T5" s="163" t="s">
        <v>301</v>
      </c>
      <c r="U5" s="53"/>
      <c r="V5" s="163" t="s">
        <v>281</v>
      </c>
      <c r="W5" s="163" t="s">
        <v>279</v>
      </c>
      <c r="X5" s="163" t="s">
        <v>282</v>
      </c>
      <c r="Y5" s="163" t="s">
        <v>282</v>
      </c>
      <c r="Z5" s="163" t="s">
        <v>283</v>
      </c>
      <c r="AA5" s="163" t="s">
        <v>282</v>
      </c>
      <c r="AB5" s="163" t="s">
        <v>473</v>
      </c>
      <c r="AC5" s="163" t="s">
        <v>283</v>
      </c>
      <c r="AD5" s="163" t="s">
        <v>474</v>
      </c>
      <c r="AE5" s="163" t="s">
        <v>281</v>
      </c>
      <c r="AF5" s="163" t="s">
        <v>282</v>
      </c>
      <c r="AG5" s="163" t="s">
        <v>284</v>
      </c>
      <c r="AH5" s="163" t="s">
        <v>285</v>
      </c>
      <c r="AI5" s="163" t="s">
        <v>475</v>
      </c>
      <c r="AJ5" s="163" t="s">
        <v>475</v>
      </c>
      <c r="AK5" s="163" t="s">
        <v>476</v>
      </c>
      <c r="AL5" s="163" t="s">
        <v>476</v>
      </c>
      <c r="AM5" s="163" t="s">
        <v>476</v>
      </c>
      <c r="AN5" s="163" t="s">
        <v>282</v>
      </c>
      <c r="AO5" s="163" t="s">
        <v>473</v>
      </c>
      <c r="AP5" s="163" t="s">
        <v>279</v>
      </c>
      <c r="AQ5" s="163" t="s">
        <v>493</v>
      </c>
      <c r="AR5" s="163" t="s">
        <v>474</v>
      </c>
    </row>
    <row r="6" spans="1:44"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8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</row>
    <row r="7" spans="1:44">
      <c r="A7" s="79" t="s">
        <v>27</v>
      </c>
      <c r="B7" s="105"/>
      <c r="C7" s="105"/>
      <c r="D7" s="104">
        <v>2</v>
      </c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6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</row>
    <row r="8" spans="1:44" s="106" customFormat="1">
      <c r="A8" s="64" t="s">
        <v>28</v>
      </c>
      <c r="B8" s="105"/>
      <c r="C8" s="105"/>
      <c r="D8" s="105"/>
      <c r="E8" s="104">
        <v>1</v>
      </c>
      <c r="F8" s="105"/>
      <c r="G8" s="105"/>
      <c r="H8" s="105"/>
      <c r="I8" s="105"/>
      <c r="J8" s="105"/>
      <c r="K8" s="105"/>
      <c r="L8" s="104">
        <v>1</v>
      </c>
      <c r="M8" s="105"/>
      <c r="N8" s="105"/>
      <c r="O8" s="105"/>
      <c r="P8" s="105"/>
      <c r="Q8" s="104">
        <v>1</v>
      </c>
      <c r="R8" s="105"/>
      <c r="S8" s="104">
        <v>2</v>
      </c>
      <c r="T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</row>
    <row r="9" spans="1:44" s="106" customFormat="1">
      <c r="A9" s="64" t="s">
        <v>29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V9" s="105"/>
      <c r="W9" s="105"/>
      <c r="X9" s="105"/>
      <c r="Y9" s="104">
        <v>1</v>
      </c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</row>
    <row r="10" spans="1:44" s="106" customFormat="1">
      <c r="A10" s="64" t="s">
        <v>33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4">
        <v>2</v>
      </c>
      <c r="O10" s="105"/>
      <c r="P10" s="105"/>
      <c r="Q10" s="105"/>
      <c r="R10" s="105"/>
      <c r="S10" s="105"/>
      <c r="T10" s="105"/>
      <c r="V10" s="105"/>
      <c r="W10" s="105"/>
      <c r="X10" s="104">
        <v>1</v>
      </c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</row>
    <row r="11" spans="1:44" s="106" customFormat="1">
      <c r="A11" s="64" t="s">
        <v>34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V11" s="105"/>
      <c r="W11" s="104">
        <v>1</v>
      </c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</row>
    <row r="12" spans="1:44" s="106" customFormat="1">
      <c r="A12" s="64" t="s">
        <v>36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4">
        <v>1</v>
      </c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</row>
    <row r="13" spans="1:44" s="106" customFormat="1">
      <c r="A13" s="64" t="s">
        <v>37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4">
        <v>1</v>
      </c>
      <c r="AO13" s="105"/>
      <c r="AP13" s="105"/>
      <c r="AQ13" s="105"/>
      <c r="AR13" s="105"/>
    </row>
    <row r="14" spans="1:44" s="106" customFormat="1">
      <c r="A14" s="64" t="s">
        <v>44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4">
        <v>4</v>
      </c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</row>
    <row r="15" spans="1:44" s="106" customFormat="1">
      <c r="A15" s="64" t="s">
        <v>45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4">
        <v>2</v>
      </c>
      <c r="AG15" s="105"/>
      <c r="AH15" s="105"/>
      <c r="AI15" s="105"/>
      <c r="AJ15" s="105"/>
      <c r="AK15" s="105"/>
      <c r="AL15" s="105"/>
      <c r="AM15" s="105"/>
      <c r="AN15" s="104">
        <v>1</v>
      </c>
      <c r="AO15" s="105"/>
      <c r="AP15" s="105"/>
      <c r="AQ15" s="105"/>
      <c r="AR15" s="105"/>
    </row>
    <row r="16" spans="1:44" s="106" customFormat="1">
      <c r="A16" s="64" t="s">
        <v>46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V16" s="105"/>
      <c r="W16" s="105"/>
      <c r="X16" s="105"/>
      <c r="Y16" s="104">
        <v>1</v>
      </c>
      <c r="Z16" s="105"/>
      <c r="AA16" s="105"/>
      <c r="AB16" s="105"/>
      <c r="AC16" s="105"/>
      <c r="AD16" s="105"/>
      <c r="AE16" s="105"/>
      <c r="AF16" s="104">
        <v>1</v>
      </c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</row>
    <row r="17" spans="1:44" s="106" customFormat="1">
      <c r="A17" s="64" t="s">
        <v>47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4">
        <v>1</v>
      </c>
      <c r="AG17" s="104">
        <v>1</v>
      </c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</row>
    <row r="18" spans="1:44" s="106" customFormat="1">
      <c r="A18" s="64" t="s">
        <v>48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4">
        <v>2</v>
      </c>
      <c r="AO18" s="105"/>
      <c r="AP18" s="105"/>
      <c r="AQ18" s="105"/>
      <c r="AR18" s="105"/>
    </row>
    <row r="19" spans="1:44" s="106" customFormat="1">
      <c r="A19" s="64" t="s">
        <v>49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V19" s="105"/>
      <c r="W19" s="105"/>
      <c r="X19" s="105"/>
      <c r="Y19" s="104">
        <v>1</v>
      </c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4">
        <v>2</v>
      </c>
      <c r="AO19" s="105"/>
      <c r="AP19" s="105"/>
      <c r="AQ19" s="105"/>
      <c r="AR19" s="105"/>
    </row>
    <row r="20" spans="1:44" s="106" customFormat="1">
      <c r="A20" s="64" t="s">
        <v>50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4">
        <v>3</v>
      </c>
      <c r="AO20" s="105"/>
      <c r="AP20" s="105"/>
      <c r="AQ20" s="105"/>
      <c r="AR20" s="105"/>
    </row>
    <row r="21" spans="1:44" s="106" customFormat="1">
      <c r="A21" s="64" t="s">
        <v>51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V21" s="105"/>
      <c r="W21" s="105"/>
      <c r="X21" s="105"/>
      <c r="Y21" s="104">
        <v>1</v>
      </c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</row>
    <row r="22" spans="1:44" s="106" customFormat="1">
      <c r="A22" s="64" t="s">
        <v>53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4">
        <v>1</v>
      </c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</row>
    <row r="23" spans="1:44" s="106" customFormat="1">
      <c r="A23" s="107" t="s">
        <v>156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V23" s="105"/>
      <c r="W23" s="105"/>
      <c r="X23" s="105"/>
      <c r="Y23" s="105"/>
      <c r="Z23" s="105"/>
      <c r="AA23" s="104">
        <v>2</v>
      </c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4">
        <v>1</v>
      </c>
      <c r="AO23" s="105"/>
      <c r="AP23" s="105"/>
      <c r="AQ23" s="105"/>
      <c r="AR23" s="105"/>
    </row>
    <row r="24" spans="1:44" s="106" customFormat="1">
      <c r="A24" s="107" t="s">
        <v>158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V24" s="105"/>
      <c r="W24" s="105"/>
      <c r="X24" s="104">
        <v>1</v>
      </c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</row>
    <row r="25" spans="1:44" s="106" customFormat="1">
      <c r="A25" s="107" t="s">
        <v>160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4">
        <v>1</v>
      </c>
      <c r="L25" s="105"/>
      <c r="M25" s="105"/>
      <c r="N25" s="105"/>
      <c r="O25" s="105"/>
      <c r="P25" s="105"/>
      <c r="Q25" s="105"/>
      <c r="R25" s="105"/>
      <c r="S25" s="105"/>
      <c r="T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</row>
    <row r="26" spans="1:44" s="106" customFormat="1">
      <c r="A26" s="107" t="s">
        <v>162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4">
        <v>1</v>
      </c>
      <c r="AO26" s="105"/>
      <c r="AP26" s="105"/>
      <c r="AQ26" s="105"/>
      <c r="AR26" s="105"/>
    </row>
    <row r="27" spans="1:44" s="106" customFormat="1">
      <c r="A27" s="107" t="s">
        <v>164</v>
      </c>
      <c r="B27" s="105"/>
      <c r="C27" s="105"/>
      <c r="D27" s="105"/>
      <c r="E27" s="105"/>
      <c r="F27" s="105"/>
      <c r="G27" s="104">
        <v>1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</row>
    <row r="28" spans="1:44" s="106" customFormat="1">
      <c r="A28" s="107" t="s">
        <v>165</v>
      </c>
      <c r="B28" s="105"/>
      <c r="C28" s="105"/>
      <c r="D28" s="105"/>
      <c r="E28" s="105"/>
      <c r="F28" s="104">
        <v>1</v>
      </c>
      <c r="G28" s="105"/>
      <c r="H28" s="104">
        <v>1</v>
      </c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</row>
    <row r="29" spans="1:44" s="106" customFormat="1">
      <c r="A29" s="107" t="s">
        <v>166</v>
      </c>
      <c r="B29" s="105"/>
      <c r="C29" s="105"/>
      <c r="D29" s="105"/>
      <c r="E29" s="105"/>
      <c r="F29" s="105"/>
      <c r="G29" s="105"/>
      <c r="H29" s="105"/>
      <c r="I29" s="105"/>
      <c r="J29" s="104">
        <v>1</v>
      </c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</row>
    <row r="30" spans="1:44" s="106" customFormat="1">
      <c r="A30" s="107" t="s">
        <v>167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V30" s="105"/>
      <c r="W30" s="105"/>
      <c r="X30" s="105"/>
      <c r="Y30" s="104">
        <v>1</v>
      </c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</row>
    <row r="31" spans="1:44" s="106" customFormat="1" ht="15.75" thickBot="1">
      <c r="A31" s="108" t="s">
        <v>168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10"/>
      <c r="V31" s="109"/>
      <c r="W31" s="109"/>
      <c r="X31" s="111">
        <v>1</v>
      </c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</row>
    <row r="32" spans="1:44" s="106" customFormat="1">
      <c r="A32" s="112" t="s">
        <v>56</v>
      </c>
      <c r="B32" s="113"/>
      <c r="C32" s="113"/>
      <c r="D32" s="114">
        <v>5</v>
      </c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5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</row>
    <row r="33" spans="1:44" s="106" customFormat="1">
      <c r="A33" s="64" t="s">
        <v>61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V33" s="105"/>
      <c r="W33" s="105"/>
      <c r="X33" s="105"/>
      <c r="Y33" s="104">
        <v>3</v>
      </c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</row>
    <row r="34" spans="1:44" s="106" customFormat="1">
      <c r="A34" s="64" t="s">
        <v>64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V34" s="105"/>
      <c r="W34" s="105"/>
      <c r="X34" s="105"/>
      <c r="Y34" s="104">
        <v>1</v>
      </c>
      <c r="Z34" s="105"/>
      <c r="AA34" s="104">
        <v>2</v>
      </c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</row>
    <row r="35" spans="1:44" s="106" customFormat="1">
      <c r="A35" s="64" t="s">
        <v>72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V35" s="105"/>
      <c r="W35" s="105"/>
      <c r="X35" s="104">
        <v>1</v>
      </c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</row>
    <row r="36" spans="1:44" s="106" customFormat="1">
      <c r="A36" s="64" t="s">
        <v>73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V36" s="105"/>
      <c r="W36" s="105"/>
      <c r="X36" s="105"/>
      <c r="Y36" s="104">
        <v>1</v>
      </c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</row>
    <row r="37" spans="1:44" s="106" customFormat="1">
      <c r="A37" s="64" t="s">
        <v>76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V37" s="105"/>
      <c r="W37" s="105"/>
      <c r="X37" s="105"/>
      <c r="Y37" s="104">
        <v>1</v>
      </c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4">
        <v>1</v>
      </c>
      <c r="AO37" s="105"/>
      <c r="AP37" s="105"/>
      <c r="AQ37" s="105"/>
      <c r="AR37" s="105"/>
    </row>
    <row r="38" spans="1:44" s="106" customFormat="1">
      <c r="A38" s="64" t="s">
        <v>77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4">
        <v>1</v>
      </c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</row>
    <row r="39" spans="1:44" s="106" customFormat="1">
      <c r="A39" s="64" t="s">
        <v>81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V39" s="105"/>
      <c r="W39" s="105"/>
      <c r="X39" s="104">
        <v>1</v>
      </c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</row>
    <row r="40" spans="1:44" s="106" customFormat="1">
      <c r="A40" s="64" t="s">
        <v>82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V40" s="105"/>
      <c r="W40" s="105"/>
      <c r="X40" s="105"/>
      <c r="Y40" s="105"/>
      <c r="Z40" s="105"/>
      <c r="AA40" s="104">
        <v>1</v>
      </c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</row>
    <row r="41" spans="1:44" s="106" customFormat="1">
      <c r="A41" s="64" t="s">
        <v>175</v>
      </c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V41" s="105"/>
      <c r="W41" s="105"/>
      <c r="X41" s="105"/>
      <c r="Y41" s="105"/>
      <c r="Z41" s="105"/>
      <c r="AA41" s="104">
        <v>1</v>
      </c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</row>
    <row r="42" spans="1:44" s="106" customFormat="1">
      <c r="A42" s="64" t="s">
        <v>179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V42" s="105"/>
      <c r="W42" s="105"/>
      <c r="X42" s="105"/>
      <c r="Y42" s="105"/>
      <c r="Z42" s="105"/>
      <c r="AA42" s="104">
        <v>1</v>
      </c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</row>
    <row r="43" spans="1:44" s="106" customFormat="1">
      <c r="A43" s="64" t="s">
        <v>180</v>
      </c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V43" s="105"/>
      <c r="W43" s="105"/>
      <c r="X43" s="105"/>
      <c r="Y43" s="104">
        <v>1</v>
      </c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</row>
    <row r="44" spans="1:44" s="106" customFormat="1">
      <c r="A44" s="64" t="s">
        <v>186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V44" s="105"/>
      <c r="W44" s="105"/>
      <c r="X44" s="105"/>
      <c r="Y44" s="104">
        <v>1</v>
      </c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</row>
    <row r="45" spans="1:44" s="106" customFormat="1">
      <c r="A45" s="64" t="s">
        <v>189</v>
      </c>
      <c r="B45" s="105"/>
      <c r="C45" s="105"/>
      <c r="D45" s="105"/>
      <c r="E45" s="105"/>
      <c r="F45" s="105"/>
      <c r="G45" s="105"/>
      <c r="H45" s="105"/>
      <c r="I45" s="104">
        <v>1</v>
      </c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V45" s="105"/>
      <c r="W45" s="105"/>
      <c r="X45" s="105"/>
      <c r="Y45" s="104">
        <v>1</v>
      </c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</row>
    <row r="46" spans="1:44" s="106" customFormat="1">
      <c r="A46" s="64" t="s">
        <v>191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4">
        <v>1</v>
      </c>
      <c r="Q46" s="105"/>
      <c r="R46" s="105"/>
      <c r="S46" s="105"/>
      <c r="T46" s="105"/>
      <c r="V46" s="104">
        <v>1</v>
      </c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</row>
    <row r="47" spans="1:44" s="106" customFormat="1">
      <c r="A47" s="64" t="s">
        <v>192</v>
      </c>
      <c r="B47" s="105"/>
      <c r="C47" s="104">
        <v>1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4">
        <v>1</v>
      </c>
      <c r="P47" s="105"/>
      <c r="Q47" s="105"/>
      <c r="R47" s="105"/>
      <c r="S47" s="105"/>
      <c r="T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</row>
    <row r="48" spans="1:44" s="106" customFormat="1">
      <c r="A48" s="64" t="s">
        <v>193</v>
      </c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V48" s="105"/>
      <c r="W48" s="105"/>
      <c r="X48" s="104">
        <v>1</v>
      </c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</row>
    <row r="49" spans="1:44" s="106" customFormat="1">
      <c r="A49" s="64" t="s">
        <v>481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4">
        <v>1</v>
      </c>
      <c r="AL49" s="104">
        <v>1</v>
      </c>
      <c r="AM49" s="105"/>
      <c r="AN49" s="105"/>
      <c r="AO49" s="105"/>
      <c r="AP49" s="105"/>
      <c r="AQ49" s="105"/>
      <c r="AR49" s="105"/>
    </row>
    <row r="50" spans="1:44" s="106" customFormat="1">
      <c r="A50" s="64" t="s">
        <v>481</v>
      </c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4">
        <v>1</v>
      </c>
      <c r="AM50" s="104">
        <v>1</v>
      </c>
      <c r="AN50" s="105"/>
      <c r="AO50" s="105"/>
      <c r="AP50" s="105"/>
      <c r="AQ50" s="105"/>
      <c r="AR50" s="105"/>
    </row>
    <row r="51" spans="1:44" s="106" customFormat="1">
      <c r="A51" s="64" t="s">
        <v>481</v>
      </c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4">
        <v>3</v>
      </c>
      <c r="AL51" s="105"/>
      <c r="AM51" s="105"/>
      <c r="AN51" s="105"/>
      <c r="AO51" s="105"/>
      <c r="AP51" s="105"/>
      <c r="AQ51" s="105"/>
      <c r="AR51" s="105"/>
    </row>
    <row r="52" spans="1:44" s="106" customFormat="1">
      <c r="A52" s="64" t="s">
        <v>481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4">
        <v>3</v>
      </c>
      <c r="AL52" s="105"/>
      <c r="AM52" s="105"/>
      <c r="AN52" s="105"/>
      <c r="AO52" s="105"/>
      <c r="AP52" s="105"/>
      <c r="AQ52" s="105"/>
      <c r="AR52" s="105"/>
    </row>
    <row r="53" spans="1:44" s="106" customFormat="1">
      <c r="A53" s="64" t="s">
        <v>482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4">
        <v>1</v>
      </c>
      <c r="AQ53" s="105"/>
      <c r="AR53" s="105"/>
    </row>
    <row r="54" spans="1:44">
      <c r="A54" s="118"/>
      <c r="B54" s="118"/>
      <c r="C54" s="118"/>
      <c r="D54" s="118"/>
    </row>
    <row r="55" spans="1:44">
      <c r="A55" s="137" t="s">
        <v>83</v>
      </c>
      <c r="B55" s="117"/>
      <c r="C55" s="116">
        <f>SUM(C7:C53)</f>
        <v>1</v>
      </c>
      <c r="D55" s="116">
        <f t="shared" ref="D55:L55" si="0">SUM(D7:D53)</f>
        <v>7</v>
      </c>
      <c r="E55" s="116">
        <f t="shared" si="0"/>
        <v>1</v>
      </c>
      <c r="F55" s="116">
        <f t="shared" si="0"/>
        <v>1</v>
      </c>
      <c r="G55" s="116">
        <f t="shared" si="0"/>
        <v>1</v>
      </c>
      <c r="H55" s="116">
        <f t="shared" si="0"/>
        <v>1</v>
      </c>
      <c r="I55" s="116">
        <f t="shared" si="0"/>
        <v>1</v>
      </c>
      <c r="J55" s="116">
        <f t="shared" si="0"/>
        <v>1</v>
      </c>
      <c r="K55" s="116">
        <f t="shared" si="0"/>
        <v>1</v>
      </c>
      <c r="L55" s="116">
        <f t="shared" si="0"/>
        <v>1</v>
      </c>
      <c r="M55" s="117"/>
      <c r="N55" s="116">
        <f t="shared" ref="N55:Q55" si="1">SUM(N7:N53)</f>
        <v>2</v>
      </c>
      <c r="O55" s="116">
        <f t="shared" si="1"/>
        <v>1</v>
      </c>
      <c r="P55" s="116">
        <f t="shared" si="1"/>
        <v>1</v>
      </c>
      <c r="Q55" s="116">
        <f t="shared" si="1"/>
        <v>1</v>
      </c>
      <c r="R55" s="117"/>
      <c r="S55" s="116">
        <f>SUM(S7:S53)</f>
        <v>2</v>
      </c>
      <c r="T55" s="117"/>
      <c r="V55" s="38">
        <f>SUM(V7:V53)</f>
        <v>1</v>
      </c>
      <c r="W55" s="116">
        <f t="shared" ref="W55:AA55" si="2">SUM(W7:W53)</f>
        <v>1</v>
      </c>
      <c r="X55" s="116">
        <f t="shared" si="2"/>
        <v>6</v>
      </c>
      <c r="Y55" s="116">
        <f t="shared" si="2"/>
        <v>14</v>
      </c>
      <c r="Z55" s="117"/>
      <c r="AA55" s="116">
        <f t="shared" si="2"/>
        <v>7</v>
      </c>
      <c r="AB55" s="117"/>
      <c r="AC55" s="117"/>
      <c r="AD55" s="117"/>
      <c r="AE55" s="117"/>
      <c r="AF55" s="116">
        <f t="shared" ref="AF55:AH55" si="3">SUM(AF7:AF53)</f>
        <v>10</v>
      </c>
      <c r="AG55" s="116">
        <f t="shared" si="3"/>
        <v>1</v>
      </c>
      <c r="AH55" s="116">
        <f t="shared" si="3"/>
        <v>1</v>
      </c>
      <c r="AI55" s="117"/>
      <c r="AJ55" s="117"/>
      <c r="AK55" s="116">
        <f t="shared" ref="AK55:AM55" si="4">SUM(AK7:AK53)</f>
        <v>7</v>
      </c>
      <c r="AL55" s="116">
        <f t="shared" si="4"/>
        <v>2</v>
      </c>
      <c r="AM55" s="116">
        <f t="shared" si="4"/>
        <v>1</v>
      </c>
      <c r="AN55" s="116">
        <f t="shared" ref="AN55:AP55" si="5">SUM(AN7:AN53)</f>
        <v>12</v>
      </c>
      <c r="AO55" s="117"/>
      <c r="AP55" s="116">
        <f t="shared" si="5"/>
        <v>1</v>
      </c>
      <c r="AQ55" s="117"/>
      <c r="AR55" s="117"/>
    </row>
    <row r="56" spans="1:44" hidden="1">
      <c r="A56" s="5" t="s">
        <v>421</v>
      </c>
    </row>
  </sheetData>
  <mergeCells count="42">
    <mergeCell ref="AR5:AR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C5:AC6"/>
    <mergeCell ref="N5:N6"/>
    <mergeCell ref="O5:O6"/>
    <mergeCell ref="P5:P6"/>
    <mergeCell ref="Q5:Q6"/>
    <mergeCell ref="V5:V6"/>
    <mergeCell ref="W5:W6"/>
    <mergeCell ref="X5:X6"/>
    <mergeCell ref="Y5:Y6"/>
    <mergeCell ref="Z5:Z6"/>
    <mergeCell ref="AA5:AA6"/>
    <mergeCell ref="AB5:AB6"/>
    <mergeCell ref="R5:R6"/>
    <mergeCell ref="S5:S6"/>
    <mergeCell ref="T5:T6"/>
    <mergeCell ref="AQ5:AQ6"/>
    <mergeCell ref="AD5:AD6"/>
    <mergeCell ref="AE5:AE6"/>
    <mergeCell ref="AF5:AF6"/>
    <mergeCell ref="AG5:AG6"/>
    <mergeCell ref="AH5:AH6"/>
    <mergeCell ref="AP5:AP6"/>
    <mergeCell ref="AN5:AN6"/>
    <mergeCell ref="AO5:AO6"/>
    <mergeCell ref="AI5:AI6"/>
    <mergeCell ref="AJ5:AJ6"/>
    <mergeCell ref="AK5:AK6"/>
    <mergeCell ref="AL5:AL6"/>
    <mergeCell ref="AM5:AM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rowBreaks count="1" manualBreakCount="1">
    <brk id="55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Plan34">
    <tabColor rgb="FF00FF00"/>
    <pageSetUpPr fitToPage="1"/>
  </sheetPr>
  <dimension ref="A1:AX61"/>
  <sheetViews>
    <sheetView tabSelected="1" zoomScale="85" zoomScaleNormal="85" workbookViewId="0">
      <pane xSplit="1" topLeftCell="B1" activePane="topRight" state="frozen"/>
      <selection pane="topRight" activeCell="BP11" sqref="BP11"/>
    </sheetView>
  </sheetViews>
  <sheetFormatPr defaultRowHeight="15"/>
  <cols>
    <col min="1" max="1" width="20.7109375" style="5" customWidth="1"/>
    <col min="2" max="18" width="12.7109375" style="5" hidden="1" customWidth="1"/>
    <col min="19" max="34" width="12.7109375" style="5" customWidth="1"/>
    <col min="35" max="50" width="12.7109375" style="5" hidden="1" customWidth="1"/>
    <col min="51" max="16384" width="9.140625" style="5"/>
  </cols>
  <sheetData>
    <row r="1" spans="1:50" ht="75" customHeight="1">
      <c r="A1" s="1"/>
      <c r="B1" s="27" t="s">
        <v>303</v>
      </c>
      <c r="C1" s="19" t="s">
        <v>304</v>
      </c>
      <c r="D1" s="19" t="s">
        <v>305</v>
      </c>
      <c r="E1" s="19" t="s">
        <v>306</v>
      </c>
      <c r="F1" s="27" t="s">
        <v>307</v>
      </c>
      <c r="G1" s="19" t="s">
        <v>90</v>
      </c>
      <c r="H1" s="19" t="s">
        <v>94</v>
      </c>
      <c r="I1" s="19" t="s">
        <v>308</v>
      </c>
      <c r="J1" s="19" t="s">
        <v>91</v>
      </c>
      <c r="K1" s="19" t="s">
        <v>97</v>
      </c>
      <c r="L1" s="19" t="s">
        <v>309</v>
      </c>
      <c r="M1" s="19" t="s">
        <v>89</v>
      </c>
      <c r="N1" s="19" t="s">
        <v>310</v>
      </c>
      <c r="O1" s="19" t="s">
        <v>311</v>
      </c>
      <c r="P1" s="19" t="s">
        <v>312</v>
      </c>
      <c r="Q1" s="19" t="s">
        <v>92</v>
      </c>
      <c r="R1" s="19" t="s">
        <v>93</v>
      </c>
      <c r="S1" s="19" t="s">
        <v>313</v>
      </c>
      <c r="T1" s="19" t="s">
        <v>314</v>
      </c>
      <c r="U1" s="19" t="s">
        <v>95</v>
      </c>
      <c r="V1" s="19" t="s">
        <v>96</v>
      </c>
      <c r="W1" s="19" t="s">
        <v>315</v>
      </c>
      <c r="X1" s="19" t="s">
        <v>316</v>
      </c>
      <c r="Y1" s="19" t="s">
        <v>317</v>
      </c>
      <c r="Z1" s="19" t="s">
        <v>318</v>
      </c>
      <c r="AA1" s="19" t="s">
        <v>319</v>
      </c>
      <c r="AB1" s="19" t="s">
        <v>320</v>
      </c>
      <c r="AC1" s="19" t="s">
        <v>321</v>
      </c>
      <c r="AD1" s="19" t="s">
        <v>322</v>
      </c>
      <c r="AE1" s="19" t="s">
        <v>323</v>
      </c>
      <c r="AF1" s="19" t="s">
        <v>324</v>
      </c>
      <c r="AG1" s="19" t="s">
        <v>325</v>
      </c>
      <c r="AH1" s="19" t="s">
        <v>326</v>
      </c>
      <c r="AI1" s="19" t="s">
        <v>327</v>
      </c>
      <c r="AJ1" s="19" t="s">
        <v>328</v>
      </c>
      <c r="AK1" s="19" t="s">
        <v>329</v>
      </c>
      <c r="AL1" s="19" t="s">
        <v>330</v>
      </c>
      <c r="AM1" s="19" t="s">
        <v>331</v>
      </c>
      <c r="AN1" s="19" t="s">
        <v>332</v>
      </c>
      <c r="AO1" s="19" t="s">
        <v>333</v>
      </c>
      <c r="AP1" s="19" t="s">
        <v>342</v>
      </c>
      <c r="AQ1" s="19" t="s">
        <v>334</v>
      </c>
      <c r="AR1" s="19" t="s">
        <v>335</v>
      </c>
      <c r="AS1" s="19" t="s">
        <v>336</v>
      </c>
      <c r="AT1" s="19" t="s">
        <v>337</v>
      </c>
      <c r="AU1" s="19" t="s">
        <v>339</v>
      </c>
      <c r="AV1" s="19" t="s">
        <v>340</v>
      </c>
      <c r="AW1" s="19" t="s">
        <v>341</v>
      </c>
      <c r="AX1" s="19" t="s">
        <v>484</v>
      </c>
    </row>
    <row r="2" spans="1:50">
      <c r="A2" s="102" t="s">
        <v>111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26">
        <f>0.25*11.55</f>
        <v>2.8875000000000002</v>
      </c>
      <c r="AU2" s="18"/>
      <c r="AV2" s="18"/>
      <c r="AW2" s="18"/>
      <c r="AX2" s="18"/>
    </row>
    <row r="3" spans="1:50">
      <c r="A3" s="102" t="s">
        <v>112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</row>
    <row r="4" spans="1:50">
      <c r="A4" s="102" t="s">
        <v>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27">
        <v>1</v>
      </c>
      <c r="AK4" s="127">
        <v>1</v>
      </c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</row>
    <row r="5" spans="1:50">
      <c r="A5" s="102" t="s">
        <v>113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</row>
    <row r="6" spans="1:50">
      <c r="A6" s="102" t="s">
        <v>114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27">
        <v>1</v>
      </c>
      <c r="R6" s="127">
        <v>1</v>
      </c>
      <c r="S6" s="127">
        <v>1</v>
      </c>
      <c r="T6" s="18"/>
      <c r="U6" s="40">
        <f>0.6*2.05</f>
        <v>1.2299999999999998</v>
      </c>
      <c r="V6" s="18"/>
      <c r="W6" s="6">
        <v>2.0499999999999998</v>
      </c>
      <c r="X6" s="6">
        <f>0.6+2.05+0.6</f>
        <v>3.25</v>
      </c>
      <c r="Y6" s="18"/>
      <c r="Z6" s="18"/>
      <c r="AA6" s="18"/>
      <c r="AB6" s="18"/>
      <c r="AC6" s="18"/>
      <c r="AD6" s="18"/>
      <c r="AE6" s="127">
        <v>1</v>
      </c>
      <c r="AF6" s="127">
        <v>1</v>
      </c>
      <c r="AG6" s="127">
        <v>1</v>
      </c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</row>
    <row r="7" spans="1:50">
      <c r="A7" s="102" t="s">
        <v>141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27">
        <v>1</v>
      </c>
      <c r="R7" s="127">
        <v>1</v>
      </c>
      <c r="S7" s="127">
        <v>1</v>
      </c>
      <c r="T7" s="18"/>
      <c r="U7" s="40">
        <f>0.6*3.7</f>
        <v>2.2200000000000002</v>
      </c>
      <c r="V7" s="18"/>
      <c r="W7" s="6">
        <f>0.6+3.7</f>
        <v>4.3</v>
      </c>
      <c r="X7" s="6">
        <f>0.6+3.7</f>
        <v>4.3</v>
      </c>
      <c r="Y7" s="18"/>
      <c r="Z7" s="18"/>
      <c r="AA7" s="127">
        <v>1</v>
      </c>
      <c r="AB7" s="18"/>
      <c r="AC7" s="18"/>
      <c r="AD7" s="127">
        <v>1</v>
      </c>
      <c r="AE7" s="127">
        <v>1</v>
      </c>
      <c r="AF7" s="127">
        <v>1</v>
      </c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26">
        <f>0.25*2</f>
        <v>0.5</v>
      </c>
      <c r="AU7" s="18"/>
      <c r="AV7" s="18"/>
      <c r="AW7" s="18"/>
      <c r="AX7" s="18"/>
    </row>
    <row r="8" spans="1:50">
      <c r="A8" s="102" t="s">
        <v>142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27">
        <v>1</v>
      </c>
      <c r="R8" s="127">
        <v>1</v>
      </c>
      <c r="S8" s="127">
        <v>1</v>
      </c>
      <c r="T8" s="18"/>
      <c r="U8" s="18"/>
      <c r="V8" s="18"/>
      <c r="W8" s="18"/>
      <c r="X8" s="18"/>
      <c r="Y8" s="18"/>
      <c r="Z8" s="18"/>
      <c r="AA8" s="127">
        <v>1</v>
      </c>
      <c r="AB8" s="18"/>
      <c r="AC8" s="18"/>
      <c r="AD8" s="127">
        <v>1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26">
        <f>(0.25*2)+(1.2*0.45)</f>
        <v>1.04</v>
      </c>
      <c r="AU8" s="18"/>
      <c r="AV8" s="18"/>
      <c r="AW8" s="18"/>
      <c r="AX8" s="18"/>
    </row>
    <row r="9" spans="1:50">
      <c r="A9" s="102" t="s">
        <v>115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27">
        <v>2</v>
      </c>
      <c r="R9" s="127">
        <v>2</v>
      </c>
      <c r="S9" s="127">
        <v>2</v>
      </c>
      <c r="T9" s="18"/>
      <c r="U9" s="40">
        <f>0.6*3.3</f>
        <v>1.9799999999999998</v>
      </c>
      <c r="V9" s="18"/>
      <c r="W9" s="6">
        <v>3.3</v>
      </c>
      <c r="X9" s="16">
        <f>0.6+3.3+0.6</f>
        <v>4.5</v>
      </c>
      <c r="Y9" s="18"/>
      <c r="Z9" s="18"/>
      <c r="AA9" s="127">
        <v>1</v>
      </c>
      <c r="AB9" s="18"/>
      <c r="AC9" s="18"/>
      <c r="AD9" s="127">
        <v>1</v>
      </c>
      <c r="AE9" s="127">
        <v>1</v>
      </c>
      <c r="AF9" s="127">
        <v>1</v>
      </c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</row>
    <row r="10" spans="1:50">
      <c r="A10" s="102" t="s">
        <v>116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27">
        <v>2</v>
      </c>
      <c r="R10" s="127">
        <v>2</v>
      </c>
      <c r="S10" s="127">
        <v>2</v>
      </c>
      <c r="T10" s="18"/>
      <c r="U10" s="40">
        <f>(1.6*0.5)+(0.6*2.45)</f>
        <v>2.27</v>
      </c>
      <c r="V10" s="18"/>
      <c r="W10" s="6">
        <f>0.5+1+2.45</f>
        <v>3.95</v>
      </c>
      <c r="X10" s="16">
        <f>1.6+2.95+0.6</f>
        <v>5.15</v>
      </c>
      <c r="Y10" s="18"/>
      <c r="Z10" s="18"/>
      <c r="AA10" s="127">
        <v>1</v>
      </c>
      <c r="AB10" s="18"/>
      <c r="AC10" s="18"/>
      <c r="AD10" s="127">
        <v>1</v>
      </c>
      <c r="AE10" s="127">
        <v>3</v>
      </c>
      <c r="AF10" s="127">
        <v>3</v>
      </c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</row>
    <row r="11" spans="1:50">
      <c r="A11" s="102" t="s">
        <v>117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27">
        <v>1</v>
      </c>
      <c r="R11" s="127">
        <v>1</v>
      </c>
      <c r="S11" s="127">
        <v>1</v>
      </c>
      <c r="T11" s="18"/>
      <c r="U11" s="18"/>
      <c r="V11" s="18"/>
      <c r="W11" s="18"/>
      <c r="X11" s="18"/>
      <c r="Y11" s="18"/>
      <c r="Z11" s="18"/>
      <c r="AA11" s="127">
        <v>1</v>
      </c>
      <c r="AB11" s="18"/>
      <c r="AC11" s="18"/>
      <c r="AD11" s="127">
        <v>1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</row>
    <row r="12" spans="1:50">
      <c r="A12" s="102" t="s">
        <v>120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</row>
    <row r="13" spans="1:50">
      <c r="A13" s="102" t="s">
        <v>121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</row>
    <row r="14" spans="1:50">
      <c r="A14" s="102" t="s">
        <v>118</v>
      </c>
      <c r="B14" s="127">
        <v>1</v>
      </c>
      <c r="C14" s="127">
        <v>1</v>
      </c>
      <c r="D14" s="127">
        <v>2</v>
      </c>
      <c r="E14" s="127">
        <v>1</v>
      </c>
      <c r="F14" s="127">
        <v>1</v>
      </c>
      <c r="G14" s="127">
        <v>1</v>
      </c>
      <c r="H14" s="127">
        <f>B14+F14</f>
        <v>2</v>
      </c>
      <c r="I14" s="18"/>
      <c r="J14" s="127">
        <v>1</v>
      </c>
      <c r="K14" s="18"/>
      <c r="L14" s="18"/>
      <c r="M14" s="18"/>
      <c r="N14" s="18"/>
      <c r="O14" s="18"/>
      <c r="P14" s="126">
        <f>2*0.6*0.9</f>
        <v>1.08</v>
      </c>
      <c r="Q14" s="127">
        <v>2</v>
      </c>
      <c r="R14" s="127">
        <v>2</v>
      </c>
      <c r="S14" s="127">
        <v>2</v>
      </c>
      <c r="T14" s="127">
        <v>2</v>
      </c>
      <c r="U14" s="40">
        <f>0.5*0.95</f>
        <v>0.47499999999999998</v>
      </c>
      <c r="V14" s="18"/>
      <c r="W14" s="6">
        <v>0.95</v>
      </c>
      <c r="X14" s="6">
        <v>0.95</v>
      </c>
      <c r="Y14" s="127">
        <v>1</v>
      </c>
      <c r="Z14" s="18"/>
      <c r="AA14" s="127">
        <v>1</v>
      </c>
      <c r="AB14" s="127">
        <v>1</v>
      </c>
      <c r="AC14" s="127">
        <v>1</v>
      </c>
      <c r="AD14" s="127">
        <v>2</v>
      </c>
      <c r="AE14" s="18"/>
      <c r="AF14" s="18"/>
      <c r="AG14" s="18"/>
      <c r="AH14" s="18"/>
      <c r="AI14" s="126">
        <f>(2.235*1.8)-(0.9*1.8)</f>
        <v>2.4029999999999996</v>
      </c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</row>
    <row r="15" spans="1:50">
      <c r="A15" s="102" t="s">
        <v>119</v>
      </c>
      <c r="B15" s="127">
        <v>1</v>
      </c>
      <c r="C15" s="127">
        <v>1</v>
      </c>
      <c r="D15" s="127">
        <v>2</v>
      </c>
      <c r="E15" s="127">
        <v>1</v>
      </c>
      <c r="F15" s="127">
        <v>1</v>
      </c>
      <c r="G15" s="127">
        <v>1</v>
      </c>
      <c r="H15" s="127">
        <f>B15+F15</f>
        <v>2</v>
      </c>
      <c r="I15" s="18"/>
      <c r="J15" s="127">
        <v>1</v>
      </c>
      <c r="K15" s="18"/>
      <c r="L15" s="18"/>
      <c r="M15" s="18"/>
      <c r="N15" s="18"/>
      <c r="O15" s="18"/>
      <c r="P15" s="126">
        <f>2*0.6*0.9</f>
        <v>1.08</v>
      </c>
      <c r="Q15" s="127">
        <v>2</v>
      </c>
      <c r="R15" s="127">
        <v>2</v>
      </c>
      <c r="S15" s="127">
        <v>2</v>
      </c>
      <c r="T15" s="127">
        <v>2</v>
      </c>
      <c r="U15" s="40">
        <f>0.5*0.8</f>
        <v>0.4</v>
      </c>
      <c r="V15" s="18"/>
      <c r="W15" s="6">
        <v>0.8</v>
      </c>
      <c r="X15" s="6">
        <v>0.8</v>
      </c>
      <c r="Y15" s="127">
        <v>1</v>
      </c>
      <c r="Z15" s="18"/>
      <c r="AA15" s="127">
        <v>1</v>
      </c>
      <c r="AB15" s="127">
        <v>1</v>
      </c>
      <c r="AC15" s="127">
        <v>1</v>
      </c>
      <c r="AD15" s="127">
        <v>2</v>
      </c>
      <c r="AE15" s="18"/>
      <c r="AF15" s="18"/>
      <c r="AG15" s="18"/>
      <c r="AH15" s="18"/>
      <c r="AI15" s="126">
        <f>(2.235*1.8)-(0.9*1.8)</f>
        <v>2.4029999999999996</v>
      </c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</row>
    <row r="16" spans="1:50">
      <c r="A16" s="102" t="s">
        <v>123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26">
        <f>0.25*3.35</f>
        <v>0.83750000000000002</v>
      </c>
      <c r="AU16" s="18"/>
      <c r="AV16" s="18"/>
      <c r="AW16" s="18"/>
      <c r="AX16" s="18"/>
    </row>
    <row r="17" spans="1:50">
      <c r="A17" s="102" t="s">
        <v>124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26">
        <f>0.25*5.1</f>
        <v>1.2749999999999999</v>
      </c>
      <c r="AU17" s="18"/>
      <c r="AV17" s="18"/>
      <c r="AW17" s="18"/>
      <c r="AX17" s="18"/>
    </row>
    <row r="18" spans="1:50">
      <c r="A18" s="102" t="s">
        <v>125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27">
        <v>1</v>
      </c>
      <c r="R18" s="127">
        <v>1</v>
      </c>
      <c r="S18" s="127">
        <v>1</v>
      </c>
      <c r="T18" s="18"/>
      <c r="U18" s="18"/>
      <c r="V18" s="18"/>
      <c r="W18" s="18"/>
      <c r="X18" s="18"/>
      <c r="Y18" s="18"/>
      <c r="Z18" s="18"/>
      <c r="AA18" s="127">
        <v>1</v>
      </c>
      <c r="AB18" s="18"/>
      <c r="AC18" s="18"/>
      <c r="AD18" s="127">
        <v>1</v>
      </c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</row>
    <row r="19" spans="1:50">
      <c r="A19" s="102" t="s">
        <v>126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27">
        <v>1</v>
      </c>
      <c r="R19" s="127">
        <v>1</v>
      </c>
      <c r="S19" s="127">
        <v>1</v>
      </c>
      <c r="T19" s="18"/>
      <c r="U19" s="40">
        <f>0.6*1.6</f>
        <v>0.96</v>
      </c>
      <c r="V19" s="18"/>
      <c r="W19" s="6">
        <v>1.6</v>
      </c>
      <c r="X19" s="16">
        <f>0.6+1.6+0.6</f>
        <v>2.8000000000000003</v>
      </c>
      <c r="Y19" s="18"/>
      <c r="Z19" s="18"/>
      <c r="AA19" s="18"/>
      <c r="AB19" s="18"/>
      <c r="AC19" s="18"/>
      <c r="AD19" s="18"/>
      <c r="AE19" s="127">
        <v>1</v>
      </c>
      <c r="AF19" s="127">
        <v>1</v>
      </c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</row>
    <row r="20" spans="1:50">
      <c r="A20" s="102" t="s">
        <v>127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27">
        <v>1</v>
      </c>
      <c r="R20" s="127">
        <v>1</v>
      </c>
      <c r="S20" s="127">
        <v>1</v>
      </c>
      <c r="T20" s="18"/>
      <c r="U20" s="18"/>
      <c r="V20" s="18"/>
      <c r="W20" s="18"/>
      <c r="X20" s="18"/>
      <c r="Y20" s="18"/>
      <c r="Z20" s="18"/>
      <c r="AA20" s="127">
        <v>1</v>
      </c>
      <c r="AB20" s="18"/>
      <c r="AC20" s="18"/>
      <c r="AD20" s="127">
        <v>1</v>
      </c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</row>
    <row r="21" spans="1:50">
      <c r="A21" s="102" t="s">
        <v>128</v>
      </c>
      <c r="B21" s="127">
        <v>1</v>
      </c>
      <c r="C21" s="127">
        <v>1</v>
      </c>
      <c r="D21" s="127">
        <v>2</v>
      </c>
      <c r="E21" s="127">
        <v>1</v>
      </c>
      <c r="F21" s="18"/>
      <c r="G21" s="18"/>
      <c r="H21" s="127">
        <f>B21+F21</f>
        <v>1</v>
      </c>
      <c r="I21" s="18"/>
      <c r="J21" s="127">
        <v>1</v>
      </c>
      <c r="K21" s="18"/>
      <c r="L21" s="18"/>
      <c r="M21" s="18"/>
      <c r="N21" s="18"/>
      <c r="O21" s="18"/>
      <c r="P21" s="126">
        <f>1*0.6*0.9</f>
        <v>0.54</v>
      </c>
      <c r="Q21" s="127">
        <v>1</v>
      </c>
      <c r="R21" s="127">
        <v>1</v>
      </c>
      <c r="S21" s="127">
        <v>1</v>
      </c>
      <c r="T21" s="127">
        <v>1</v>
      </c>
      <c r="U21" s="18"/>
      <c r="V21" s="18"/>
      <c r="W21" s="18"/>
      <c r="X21" s="18"/>
      <c r="Y21" s="18"/>
      <c r="Z21" s="18"/>
      <c r="AA21" s="127">
        <v>1</v>
      </c>
      <c r="AB21" s="127">
        <v>1</v>
      </c>
      <c r="AC21" s="127">
        <v>1</v>
      </c>
      <c r="AD21" s="127">
        <v>1</v>
      </c>
      <c r="AE21" s="18"/>
      <c r="AF21" s="18"/>
      <c r="AG21" s="18"/>
      <c r="AH21" s="127">
        <v>1</v>
      </c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</row>
    <row r="22" spans="1:50">
      <c r="A22" s="102" t="s">
        <v>129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26">
        <f>0.25*(4.15+1.85)</f>
        <v>1.5</v>
      </c>
      <c r="AU22" s="18"/>
      <c r="AV22" s="18"/>
      <c r="AW22" s="18"/>
      <c r="AX22" s="18"/>
    </row>
    <row r="23" spans="1:50">
      <c r="A23" s="102" t="s">
        <v>130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27">
        <v>1</v>
      </c>
      <c r="R23" s="127">
        <v>1</v>
      </c>
      <c r="S23" s="127">
        <v>1</v>
      </c>
      <c r="T23" s="18"/>
      <c r="U23" s="18"/>
      <c r="V23" s="18"/>
      <c r="W23" s="18"/>
      <c r="X23" s="18"/>
      <c r="Y23" s="18"/>
      <c r="Z23" s="18"/>
      <c r="AA23" s="127">
        <v>1</v>
      </c>
      <c r="AB23" s="18"/>
      <c r="AC23" s="18"/>
      <c r="AD23" s="127">
        <v>1</v>
      </c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26">
        <f>0.25*1.5</f>
        <v>0.375</v>
      </c>
      <c r="AU23" s="18"/>
      <c r="AV23" s="18"/>
      <c r="AW23" s="18"/>
      <c r="AX23" s="18"/>
    </row>
    <row r="24" spans="1:50">
      <c r="A24" s="102" t="s">
        <v>144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27">
        <v>1</v>
      </c>
      <c r="R24" s="127">
        <v>1</v>
      </c>
      <c r="S24" s="127">
        <v>1</v>
      </c>
      <c r="T24" s="18"/>
      <c r="U24" s="40">
        <f>0.6*2.55</f>
        <v>1.5299999999999998</v>
      </c>
      <c r="V24" s="18"/>
      <c r="W24" s="6">
        <v>2.5499999999999998</v>
      </c>
      <c r="X24" s="16">
        <f>0.6+2.55+0.6</f>
        <v>3.75</v>
      </c>
      <c r="Y24" s="127">
        <v>1</v>
      </c>
      <c r="Z24" s="18"/>
      <c r="AA24" s="18"/>
      <c r="AB24" s="18"/>
      <c r="AC24" s="18"/>
      <c r="AD24" s="127">
        <v>1</v>
      </c>
      <c r="AE24" s="127">
        <v>1</v>
      </c>
      <c r="AF24" s="127">
        <v>1</v>
      </c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26">
        <f>0.25*2.55</f>
        <v>0.63749999999999996</v>
      </c>
      <c r="AU24" s="18"/>
      <c r="AV24" s="18"/>
      <c r="AW24" s="18"/>
      <c r="AX24" s="18"/>
    </row>
    <row r="25" spans="1:50">
      <c r="A25" s="102" t="s">
        <v>131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27">
        <v>1</v>
      </c>
      <c r="R25" s="127">
        <v>1</v>
      </c>
      <c r="S25" s="127">
        <v>1</v>
      </c>
      <c r="T25" s="18"/>
      <c r="U25" s="18"/>
      <c r="V25" s="18"/>
      <c r="W25" s="18"/>
      <c r="X25" s="18"/>
      <c r="Y25" s="18"/>
      <c r="Z25" s="18"/>
      <c r="AA25" s="127">
        <v>1</v>
      </c>
      <c r="AB25" s="18"/>
      <c r="AC25" s="18"/>
      <c r="AD25" s="127">
        <v>1</v>
      </c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26">
        <f>0.25*2.55</f>
        <v>0.63749999999999996</v>
      </c>
      <c r="AU25" s="18"/>
      <c r="AV25" s="18"/>
      <c r="AW25" s="18"/>
      <c r="AX25" s="18"/>
    </row>
    <row r="26" spans="1:50">
      <c r="A26" s="102" t="s">
        <v>132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</row>
    <row r="27" spans="1:50">
      <c r="A27" s="102" t="s">
        <v>133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27">
        <v>1</v>
      </c>
      <c r="R27" s="127">
        <v>1</v>
      </c>
      <c r="S27" s="127">
        <v>1</v>
      </c>
      <c r="T27" s="18"/>
      <c r="U27" s="18"/>
      <c r="V27" s="18"/>
      <c r="W27" s="18"/>
      <c r="X27" s="18"/>
      <c r="Y27" s="18"/>
      <c r="Z27" s="18"/>
      <c r="AA27" s="127">
        <v>1</v>
      </c>
      <c r="AB27" s="18"/>
      <c r="AC27" s="18"/>
      <c r="AD27" s="127">
        <v>1</v>
      </c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</row>
    <row r="28" spans="1:50">
      <c r="A28" s="102" t="s">
        <v>134</v>
      </c>
      <c r="B28" s="18"/>
      <c r="C28" s="18"/>
      <c r="D28" s="18"/>
      <c r="E28" s="18"/>
      <c r="F28" s="127">
        <v>3</v>
      </c>
      <c r="G28" s="127">
        <v>3</v>
      </c>
      <c r="H28" s="18"/>
      <c r="I28" s="129">
        <f>B28+F28</f>
        <v>3</v>
      </c>
      <c r="J28" s="18"/>
      <c r="K28" s="18"/>
      <c r="L28" s="18"/>
      <c r="M28" s="18"/>
      <c r="N28" s="18"/>
      <c r="O28" s="18"/>
      <c r="P28" s="126">
        <f>2.22*0.9</f>
        <v>1.9980000000000002</v>
      </c>
      <c r="Q28" s="127">
        <v>2</v>
      </c>
      <c r="R28" s="127">
        <v>2</v>
      </c>
      <c r="S28" s="127">
        <v>2</v>
      </c>
      <c r="T28" s="127">
        <v>3</v>
      </c>
      <c r="U28" s="40">
        <f>0.5*2.22</f>
        <v>1.1100000000000001</v>
      </c>
      <c r="V28" s="18"/>
      <c r="W28" s="6">
        <v>2.2200000000000002</v>
      </c>
      <c r="X28" s="16">
        <f>0.5+2.22</f>
        <v>2.72</v>
      </c>
      <c r="Y28" s="127">
        <v>3</v>
      </c>
      <c r="Z28" s="18"/>
      <c r="AA28" s="18"/>
      <c r="AB28" s="18"/>
      <c r="AC28" s="18"/>
      <c r="AD28" s="127">
        <v>3</v>
      </c>
      <c r="AE28" s="18"/>
      <c r="AF28" s="18"/>
      <c r="AG28" s="18"/>
      <c r="AH28" s="18"/>
      <c r="AI28" s="126">
        <f>1.8*(3.45+1.29+1.29+0.9)-(3*0.6*1.5)</f>
        <v>9.7740000000000027</v>
      </c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26">
        <f>0.25*3.45</f>
        <v>0.86250000000000004</v>
      </c>
      <c r="AU28" s="18"/>
      <c r="AV28" s="18"/>
      <c r="AW28" s="18"/>
      <c r="AX28" s="18"/>
    </row>
    <row r="29" spans="1:50">
      <c r="A29" s="102" t="s">
        <v>135</v>
      </c>
      <c r="B29" s="18"/>
      <c r="C29" s="18"/>
      <c r="D29" s="18"/>
      <c r="E29" s="18"/>
      <c r="F29" s="18"/>
      <c r="G29" s="18"/>
      <c r="H29" s="18"/>
      <c r="I29" s="9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</row>
    <row r="30" spans="1:50">
      <c r="A30" s="102" t="s">
        <v>128</v>
      </c>
      <c r="B30" s="127">
        <v>1</v>
      </c>
      <c r="C30" s="127">
        <v>1</v>
      </c>
      <c r="D30" s="127">
        <v>2</v>
      </c>
      <c r="E30" s="127">
        <v>1</v>
      </c>
      <c r="F30" s="18"/>
      <c r="G30" s="18"/>
      <c r="H30" s="18"/>
      <c r="I30" s="129">
        <f>B30+F30</f>
        <v>1</v>
      </c>
      <c r="J30" s="127">
        <v>1</v>
      </c>
      <c r="K30" s="18"/>
      <c r="L30" s="18"/>
      <c r="M30" s="18"/>
      <c r="N30" s="18"/>
      <c r="O30" s="18"/>
      <c r="P30" s="126">
        <f>0.6*0.9</f>
        <v>0.54</v>
      </c>
      <c r="Q30" s="127">
        <v>1</v>
      </c>
      <c r="R30" s="127">
        <v>1</v>
      </c>
      <c r="S30" s="127">
        <v>1</v>
      </c>
      <c r="T30" s="127">
        <v>1</v>
      </c>
      <c r="U30" s="18"/>
      <c r="V30" s="18"/>
      <c r="W30" s="18"/>
      <c r="X30" s="18"/>
      <c r="Y30" s="18"/>
      <c r="Z30" s="18"/>
      <c r="AA30" s="127">
        <v>1</v>
      </c>
      <c r="AB30" s="127">
        <v>1</v>
      </c>
      <c r="AC30" s="127">
        <v>1</v>
      </c>
      <c r="AD30" s="127">
        <v>1</v>
      </c>
      <c r="AE30" s="18"/>
      <c r="AF30" s="18"/>
      <c r="AG30" s="18"/>
      <c r="AH30" s="127">
        <v>1</v>
      </c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26">
        <f>0.25*1.8</f>
        <v>0.45</v>
      </c>
      <c r="AU30" s="18"/>
      <c r="AV30" s="18"/>
      <c r="AW30" s="18"/>
      <c r="AX30" s="18"/>
    </row>
    <row r="31" spans="1:50">
      <c r="A31" s="102" t="s">
        <v>136</v>
      </c>
      <c r="B31" s="18"/>
      <c r="C31" s="18"/>
      <c r="D31" s="18"/>
      <c r="E31" s="18"/>
      <c r="F31" s="18"/>
      <c r="G31" s="18"/>
      <c r="H31" s="18"/>
      <c r="I31" s="9"/>
      <c r="J31" s="18"/>
      <c r="K31" s="18"/>
      <c r="L31" s="18"/>
      <c r="M31" s="18"/>
      <c r="N31" s="18"/>
      <c r="O31" s="18"/>
      <c r="P31" s="126">
        <f>1.5*0.9</f>
        <v>1.35</v>
      </c>
      <c r="Q31" s="127">
        <v>1</v>
      </c>
      <c r="R31" s="127">
        <v>1</v>
      </c>
      <c r="S31" s="127">
        <v>1</v>
      </c>
      <c r="T31" s="127">
        <v>1</v>
      </c>
      <c r="U31" s="40">
        <f>0.6*1.5</f>
        <v>0.89999999999999991</v>
      </c>
      <c r="V31" s="18"/>
      <c r="W31" s="6">
        <v>1.5</v>
      </c>
      <c r="X31" s="16">
        <f>0.6+1.5+0.6</f>
        <v>2.7</v>
      </c>
      <c r="Y31" s="127">
        <v>1</v>
      </c>
      <c r="Z31" s="18"/>
      <c r="AA31" s="18"/>
      <c r="AB31" s="18"/>
      <c r="AC31" s="18"/>
      <c r="AD31" s="127">
        <v>1</v>
      </c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26">
        <f>0.25*1.5</f>
        <v>0.375</v>
      </c>
      <c r="AU31" s="18"/>
      <c r="AV31" s="18"/>
      <c r="AW31" s="18"/>
      <c r="AX31" s="18"/>
    </row>
    <row r="32" spans="1:50">
      <c r="A32" s="102" t="s">
        <v>128</v>
      </c>
      <c r="B32" s="127">
        <v>1</v>
      </c>
      <c r="C32" s="127">
        <v>1</v>
      </c>
      <c r="D32" s="127">
        <v>2</v>
      </c>
      <c r="E32" s="127">
        <v>1</v>
      </c>
      <c r="F32" s="18"/>
      <c r="G32" s="18"/>
      <c r="H32" s="18"/>
      <c r="I32" s="129">
        <f>B32+F32</f>
        <v>1</v>
      </c>
      <c r="J32" s="127">
        <v>1</v>
      </c>
      <c r="K32" s="18"/>
      <c r="L32" s="18"/>
      <c r="M32" s="18"/>
      <c r="N32" s="18"/>
      <c r="O32" s="18"/>
      <c r="P32" s="126">
        <f>0.6*0.9</f>
        <v>0.54</v>
      </c>
      <c r="Q32" s="127">
        <v>1</v>
      </c>
      <c r="R32" s="127">
        <v>1</v>
      </c>
      <c r="S32" s="127">
        <v>1</v>
      </c>
      <c r="T32" s="127">
        <v>1</v>
      </c>
      <c r="U32" s="18"/>
      <c r="V32" s="18"/>
      <c r="W32" s="18"/>
      <c r="X32" s="18"/>
      <c r="Y32" s="18"/>
      <c r="Z32" s="18"/>
      <c r="AA32" s="127">
        <v>1</v>
      </c>
      <c r="AB32" s="127">
        <v>1</v>
      </c>
      <c r="AC32" s="127">
        <v>1</v>
      </c>
      <c r="AD32" s="127">
        <v>1</v>
      </c>
      <c r="AE32" s="18"/>
      <c r="AF32" s="18"/>
      <c r="AG32" s="18"/>
      <c r="AH32" s="127">
        <v>1</v>
      </c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26">
        <f>0.25*1.75</f>
        <v>0.4375</v>
      </c>
      <c r="AU32" s="18"/>
      <c r="AV32" s="18"/>
      <c r="AW32" s="18"/>
      <c r="AX32" s="18"/>
    </row>
    <row r="33" spans="1:50">
      <c r="A33" s="102" t="s">
        <v>134</v>
      </c>
      <c r="B33" s="18"/>
      <c r="C33" s="18"/>
      <c r="D33" s="18"/>
      <c r="E33" s="18"/>
      <c r="F33" s="127">
        <v>3</v>
      </c>
      <c r="G33" s="127">
        <v>3</v>
      </c>
      <c r="H33" s="18"/>
      <c r="I33" s="129">
        <f>B33+F33</f>
        <v>3</v>
      </c>
      <c r="J33" s="18"/>
      <c r="K33" s="18"/>
      <c r="L33" s="18"/>
      <c r="M33" s="18"/>
      <c r="N33" s="18"/>
      <c r="O33" s="18"/>
      <c r="P33" s="126">
        <f>2.05*0.9</f>
        <v>1.845</v>
      </c>
      <c r="Q33" s="127">
        <v>2</v>
      </c>
      <c r="R33" s="127">
        <v>2</v>
      </c>
      <c r="S33" s="127">
        <v>2</v>
      </c>
      <c r="T33" s="127">
        <v>3</v>
      </c>
      <c r="U33" s="40">
        <f>(2.05+2.45)*0.6/2</f>
        <v>1.3499999999999999</v>
      </c>
      <c r="V33" s="18"/>
      <c r="W33" s="6">
        <v>2.4500000000000002</v>
      </c>
      <c r="X33" s="16">
        <f>2.05+0.65</f>
        <v>2.6999999999999997</v>
      </c>
      <c r="Y33" s="127">
        <v>3</v>
      </c>
      <c r="Z33" s="18"/>
      <c r="AA33" s="18"/>
      <c r="AB33" s="18"/>
      <c r="AC33" s="18"/>
      <c r="AD33" s="127">
        <v>3</v>
      </c>
      <c r="AE33" s="18"/>
      <c r="AF33" s="18"/>
      <c r="AG33" s="18"/>
      <c r="AH33" s="18"/>
      <c r="AI33" s="126">
        <f>1.8*(3.75+1.16+1.16+0.8)-(3*0.6*1.5)</f>
        <v>9.6660000000000004</v>
      </c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26">
        <f>0.25*3.25</f>
        <v>0.8125</v>
      </c>
      <c r="AU33" s="18"/>
      <c r="AV33" s="18"/>
      <c r="AW33" s="18"/>
      <c r="AX33" s="18"/>
    </row>
    <row r="34" spans="1:50">
      <c r="A34" s="102" t="s">
        <v>143</v>
      </c>
      <c r="B34" s="18"/>
      <c r="C34" s="18"/>
      <c r="D34" s="18"/>
      <c r="E34" s="18"/>
      <c r="F34" s="18"/>
      <c r="G34" s="18"/>
      <c r="H34" s="18"/>
      <c r="I34" s="9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40">
        <f>(0.8*4.9)+(0.8*2.85)</f>
        <v>6.2000000000000011</v>
      </c>
      <c r="W34" s="6">
        <f>2*((2.85+0.8)+(4.9+0.8))</f>
        <v>18.700000000000003</v>
      </c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27">
        <v>2</v>
      </c>
      <c r="AS34" s="127">
        <v>2</v>
      </c>
      <c r="AT34" s="126">
        <f>0.25*7.75</f>
        <v>1.9375</v>
      </c>
      <c r="AU34" s="18"/>
      <c r="AV34" s="126">
        <f>(8.25+0.65)*3.4</f>
        <v>30.26</v>
      </c>
      <c r="AW34" s="18"/>
      <c r="AX34" s="18"/>
    </row>
    <row r="35" spans="1:50">
      <c r="A35" s="102" t="s">
        <v>137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</row>
    <row r="36" spans="1:50">
      <c r="A36" s="102" t="s">
        <v>138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26">
        <f>0.25*1.05</f>
        <v>0.26250000000000001</v>
      </c>
      <c r="AU36" s="18"/>
      <c r="AV36" s="18"/>
      <c r="AW36" s="18"/>
      <c r="AX36" s="18"/>
    </row>
    <row r="37" spans="1:50">
      <c r="A37" s="102" t="s">
        <v>134</v>
      </c>
      <c r="B37" s="18"/>
      <c r="C37" s="18"/>
      <c r="D37" s="18"/>
      <c r="E37" s="18"/>
      <c r="F37" s="127">
        <v>1</v>
      </c>
      <c r="G37" s="127">
        <v>1</v>
      </c>
      <c r="H37" s="127">
        <f>B37+F37</f>
        <v>1</v>
      </c>
      <c r="I37" s="18"/>
      <c r="J37" s="18"/>
      <c r="K37" s="18"/>
      <c r="L37" s="18"/>
      <c r="M37" s="18"/>
      <c r="N37" s="18"/>
      <c r="O37" s="18"/>
      <c r="P37" s="126">
        <f>0.6*0.9</f>
        <v>0.54</v>
      </c>
      <c r="Q37" s="127">
        <v>1</v>
      </c>
      <c r="R37" s="127">
        <v>1</v>
      </c>
      <c r="S37" s="127">
        <v>1</v>
      </c>
      <c r="T37" s="127">
        <v>1</v>
      </c>
      <c r="U37" s="18"/>
      <c r="V37" s="18"/>
      <c r="W37" s="18"/>
      <c r="X37" s="18"/>
      <c r="Y37" s="18"/>
      <c r="Z37" s="18"/>
      <c r="AA37" s="127">
        <v>1</v>
      </c>
      <c r="AB37" s="18"/>
      <c r="AC37" s="18"/>
      <c r="AD37" s="127">
        <v>1</v>
      </c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26">
        <f>0.25*1</f>
        <v>0.25</v>
      </c>
      <c r="AU37" s="18"/>
      <c r="AV37" s="18"/>
      <c r="AW37" s="18"/>
      <c r="AX37" s="18"/>
    </row>
    <row r="38" spans="1:50">
      <c r="A38" s="102" t="s">
        <v>139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6">
        <f>(5+4.4+5.28)+(0.2+2.8+2.8+0.2)</f>
        <v>20.68</v>
      </c>
      <c r="AN38" s="6">
        <f>0.2+2.8+2.8+0.2</f>
        <v>6</v>
      </c>
      <c r="AO38" s="18"/>
      <c r="AP38" s="18"/>
      <c r="AQ38" s="18"/>
      <c r="AR38" s="18"/>
      <c r="AS38" s="18"/>
      <c r="AT38" s="126">
        <f>0.25*3</f>
        <v>0.75</v>
      </c>
      <c r="AU38" s="18"/>
      <c r="AV38" s="18"/>
      <c r="AW38" s="18"/>
      <c r="AX38" s="18"/>
    </row>
    <row r="39" spans="1:50">
      <c r="A39" s="102" t="s">
        <v>4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6">
        <v>95.41</v>
      </c>
      <c r="AM39" s="18"/>
      <c r="AN39" s="18"/>
      <c r="AO39" s="18"/>
      <c r="AP39" s="18"/>
      <c r="AQ39" s="18"/>
      <c r="AR39" s="18"/>
      <c r="AS39" s="18"/>
      <c r="AT39" s="126">
        <f>0.25*2</f>
        <v>0.5</v>
      </c>
      <c r="AU39" s="126">
        <f>1.9*3.4</f>
        <v>6.46</v>
      </c>
      <c r="AV39" s="18"/>
      <c r="AW39" s="18"/>
      <c r="AX39" s="18"/>
    </row>
    <row r="40" spans="1:50">
      <c r="A40" s="102" t="s">
        <v>140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27">
        <v>1</v>
      </c>
      <c r="R40" s="127">
        <v>1</v>
      </c>
      <c r="S40" s="127">
        <v>1</v>
      </c>
      <c r="T40" s="18"/>
      <c r="U40" s="40">
        <f>0.6*2.35</f>
        <v>1.41</v>
      </c>
      <c r="V40" s="18"/>
      <c r="W40" s="6">
        <v>2.35</v>
      </c>
      <c r="X40" s="16">
        <f>0.6+2.35+0.6</f>
        <v>3.5500000000000003</v>
      </c>
      <c r="Y40" s="127">
        <v>1</v>
      </c>
      <c r="Z40" s="18"/>
      <c r="AA40" s="18"/>
      <c r="AB40" s="18"/>
      <c r="AC40" s="18"/>
      <c r="AD40" s="127">
        <v>1</v>
      </c>
      <c r="AE40" s="127">
        <v>1</v>
      </c>
      <c r="AF40" s="127">
        <v>1</v>
      </c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</row>
    <row r="41" spans="1:50">
      <c r="A41" s="102" t="s">
        <v>145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27">
        <v>1</v>
      </c>
      <c r="R41" s="127">
        <v>1</v>
      </c>
      <c r="S41" s="127">
        <v>1</v>
      </c>
      <c r="T41" s="18"/>
      <c r="U41" s="40">
        <f>(0.6*2.1)+(0.45*1.5)</f>
        <v>1.9350000000000001</v>
      </c>
      <c r="V41" s="40">
        <f>(0.5*2.2)</f>
        <v>1.1000000000000001</v>
      </c>
      <c r="W41" s="6">
        <f>2.2+0.5+2.2+0.45+1.5+1.65</f>
        <v>8.5</v>
      </c>
      <c r="X41" s="16">
        <f>0.5+2.1+2.1+0.6</f>
        <v>5.3</v>
      </c>
      <c r="Y41" s="127">
        <v>1</v>
      </c>
      <c r="Z41" s="18"/>
      <c r="AA41" s="18"/>
      <c r="AB41" s="18"/>
      <c r="AC41" s="18"/>
      <c r="AD41" s="127">
        <v>1</v>
      </c>
      <c r="AE41" s="127">
        <v>1</v>
      </c>
      <c r="AF41" s="127">
        <v>1</v>
      </c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26">
        <f>(0.25*2.75)+(0.5*1.75)</f>
        <v>1.5625</v>
      </c>
      <c r="AU41" s="18"/>
      <c r="AV41" s="18"/>
      <c r="AW41" s="18"/>
      <c r="AX41" s="18"/>
    </row>
    <row r="42" spans="1:50">
      <c r="A42" s="102" t="s">
        <v>128</v>
      </c>
      <c r="B42" s="127">
        <v>1</v>
      </c>
      <c r="C42" s="127">
        <v>1</v>
      </c>
      <c r="D42" s="127">
        <v>2</v>
      </c>
      <c r="E42" s="127">
        <v>1</v>
      </c>
      <c r="F42" s="18"/>
      <c r="G42" s="18"/>
      <c r="H42" s="127">
        <f t="shared" ref="H42:H43" si="0">B42+F42</f>
        <v>1</v>
      </c>
      <c r="I42" s="18"/>
      <c r="J42" s="127">
        <v>1</v>
      </c>
      <c r="K42" s="127">
        <v>1</v>
      </c>
      <c r="L42" s="127">
        <v>1</v>
      </c>
      <c r="M42" s="127">
        <v>1</v>
      </c>
      <c r="N42" s="127">
        <v>1</v>
      </c>
      <c r="O42" s="127">
        <v>2</v>
      </c>
      <c r="P42" s="126">
        <f t="shared" ref="P42:P45" si="1">0.6*0.9</f>
        <v>0.54</v>
      </c>
      <c r="Q42" s="127">
        <v>1</v>
      </c>
      <c r="R42" s="127">
        <v>1</v>
      </c>
      <c r="S42" s="127">
        <v>1</v>
      </c>
      <c r="T42" s="127">
        <v>1</v>
      </c>
      <c r="U42" s="18"/>
      <c r="V42" s="18"/>
      <c r="W42" s="18"/>
      <c r="X42" s="18"/>
      <c r="Y42" s="18"/>
      <c r="Z42" s="18"/>
      <c r="AA42" s="127">
        <v>1</v>
      </c>
      <c r="AB42" s="127">
        <v>1</v>
      </c>
      <c r="AC42" s="127">
        <v>1</v>
      </c>
      <c r="AD42" s="127">
        <v>1</v>
      </c>
      <c r="AE42" s="18"/>
      <c r="AF42" s="18"/>
      <c r="AG42" s="18"/>
      <c r="AH42" s="127">
        <v>1</v>
      </c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26">
        <f>0.25*1</f>
        <v>0.25</v>
      </c>
      <c r="AU42" s="18"/>
      <c r="AV42" s="18"/>
      <c r="AW42" s="18"/>
      <c r="AX42" s="18"/>
    </row>
    <row r="43" spans="1:50">
      <c r="A43" s="102" t="s">
        <v>128</v>
      </c>
      <c r="B43" s="127">
        <v>1</v>
      </c>
      <c r="C43" s="127">
        <v>1</v>
      </c>
      <c r="D43" s="127">
        <v>2</v>
      </c>
      <c r="E43" s="127">
        <v>1</v>
      </c>
      <c r="F43" s="18"/>
      <c r="G43" s="18"/>
      <c r="H43" s="127">
        <f t="shared" si="0"/>
        <v>1</v>
      </c>
      <c r="I43" s="18"/>
      <c r="J43" s="127">
        <v>1</v>
      </c>
      <c r="K43" s="127">
        <v>1</v>
      </c>
      <c r="L43" s="127">
        <v>1</v>
      </c>
      <c r="M43" s="127">
        <v>1</v>
      </c>
      <c r="N43" s="127">
        <v>1</v>
      </c>
      <c r="O43" s="127">
        <v>2</v>
      </c>
      <c r="P43" s="126">
        <f t="shared" si="1"/>
        <v>0.54</v>
      </c>
      <c r="Q43" s="127">
        <v>1</v>
      </c>
      <c r="R43" s="127">
        <v>1</v>
      </c>
      <c r="S43" s="127">
        <v>1</v>
      </c>
      <c r="T43" s="127">
        <v>1</v>
      </c>
      <c r="U43" s="18"/>
      <c r="V43" s="18"/>
      <c r="W43" s="18"/>
      <c r="X43" s="18"/>
      <c r="Y43" s="18"/>
      <c r="Z43" s="18"/>
      <c r="AA43" s="127">
        <v>1</v>
      </c>
      <c r="AB43" s="127">
        <v>1</v>
      </c>
      <c r="AC43" s="127">
        <v>1</v>
      </c>
      <c r="AD43" s="127">
        <v>1</v>
      </c>
      <c r="AE43" s="18"/>
      <c r="AF43" s="18"/>
      <c r="AG43" s="18"/>
      <c r="AH43" s="127">
        <v>1</v>
      </c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26">
        <f>0.25*1</f>
        <v>0.25</v>
      </c>
      <c r="AU43" s="18"/>
      <c r="AV43" s="18"/>
      <c r="AW43" s="18"/>
      <c r="AX43" s="18"/>
    </row>
    <row r="44" spans="1:50">
      <c r="A44" s="102" t="s">
        <v>146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27">
        <v>1</v>
      </c>
      <c r="R44" s="127">
        <v>1</v>
      </c>
      <c r="S44" s="127">
        <v>1</v>
      </c>
      <c r="T44" s="18"/>
      <c r="U44" s="40">
        <f>(0.55*1.7)+(0.55*2.55)</f>
        <v>2.3375000000000004</v>
      </c>
      <c r="V44" s="40">
        <f>(0.5*2.1)</f>
        <v>1.05</v>
      </c>
      <c r="W44" s="6">
        <f>2.1+0.5+2.1+2.55+1.15</f>
        <v>8.4</v>
      </c>
      <c r="X44" s="16">
        <f>0.5+0.55+3.1+1.7</f>
        <v>5.8500000000000005</v>
      </c>
      <c r="Y44" s="127">
        <v>1</v>
      </c>
      <c r="Z44" s="18"/>
      <c r="AA44" s="18"/>
      <c r="AB44" s="18"/>
      <c r="AC44" s="18"/>
      <c r="AD44" s="127">
        <v>1</v>
      </c>
      <c r="AE44" s="127">
        <v>1</v>
      </c>
      <c r="AF44" s="127">
        <v>1</v>
      </c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26">
        <f>0.25*(2.2+2.2)</f>
        <v>1.1000000000000001</v>
      </c>
      <c r="AU44" s="18"/>
      <c r="AV44" s="18"/>
      <c r="AW44" s="18"/>
      <c r="AX44" s="18"/>
    </row>
    <row r="45" spans="1:50">
      <c r="A45" s="102" t="s">
        <v>147</v>
      </c>
      <c r="B45" s="18"/>
      <c r="C45" s="18"/>
      <c r="D45" s="18"/>
      <c r="E45" s="18"/>
      <c r="F45" s="127">
        <v>1</v>
      </c>
      <c r="G45" s="127">
        <v>1</v>
      </c>
      <c r="H45" s="127">
        <f>B45+F45</f>
        <v>1</v>
      </c>
      <c r="I45" s="18"/>
      <c r="J45" s="18"/>
      <c r="K45" s="127">
        <v>1</v>
      </c>
      <c r="L45" s="127">
        <v>1</v>
      </c>
      <c r="M45" s="18"/>
      <c r="N45" s="18"/>
      <c r="O45" s="18"/>
      <c r="P45" s="126">
        <f t="shared" si="1"/>
        <v>0.54</v>
      </c>
      <c r="Q45" s="127">
        <v>1</v>
      </c>
      <c r="R45" s="127">
        <v>1</v>
      </c>
      <c r="S45" s="127">
        <v>1</v>
      </c>
      <c r="T45" s="127">
        <v>1</v>
      </c>
      <c r="U45" s="18"/>
      <c r="V45" s="18"/>
      <c r="W45" s="18"/>
      <c r="X45" s="18"/>
      <c r="Y45" s="18"/>
      <c r="Z45" s="18"/>
      <c r="AA45" s="127">
        <v>1</v>
      </c>
      <c r="AB45" s="18"/>
      <c r="AC45" s="18"/>
      <c r="AD45" s="127">
        <v>1</v>
      </c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</row>
    <row r="46" spans="1:50">
      <c r="A46" s="102" t="s">
        <v>124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</row>
    <row r="47" spans="1:50">
      <c r="A47" s="102" t="s">
        <v>148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27">
        <v>2</v>
      </c>
      <c r="R47" s="127">
        <v>2</v>
      </c>
      <c r="S47" s="127">
        <v>2</v>
      </c>
      <c r="T47" s="18"/>
      <c r="U47" s="40">
        <f>0.6*2.35</f>
        <v>1.41</v>
      </c>
      <c r="V47" s="18"/>
      <c r="W47" s="6">
        <v>2.35</v>
      </c>
      <c r="X47" s="16">
        <f>0.6+2.35+0.6</f>
        <v>3.5500000000000003</v>
      </c>
      <c r="Y47" s="18"/>
      <c r="Z47" s="18"/>
      <c r="AA47" s="127">
        <v>1</v>
      </c>
      <c r="AB47" s="18"/>
      <c r="AC47" s="18"/>
      <c r="AD47" s="127">
        <v>1</v>
      </c>
      <c r="AE47" s="127">
        <v>1</v>
      </c>
      <c r="AF47" s="127">
        <v>1</v>
      </c>
      <c r="AG47" s="127">
        <v>1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</row>
    <row r="48" spans="1:50">
      <c r="A48" s="102" t="s">
        <v>149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27">
        <v>1</v>
      </c>
      <c r="R48" s="127">
        <v>1</v>
      </c>
      <c r="S48" s="127">
        <v>1</v>
      </c>
      <c r="T48" s="18"/>
      <c r="U48" s="40">
        <f>0.6*2.225</f>
        <v>1.335</v>
      </c>
      <c r="V48" s="18"/>
      <c r="W48" s="6">
        <f>0.6+2.225</f>
        <v>2.8250000000000002</v>
      </c>
      <c r="X48" s="6">
        <f>0.6+2.225</f>
        <v>2.8250000000000002</v>
      </c>
      <c r="Y48" s="18"/>
      <c r="Z48" s="18"/>
      <c r="AA48" s="127">
        <v>1</v>
      </c>
      <c r="AB48" s="18"/>
      <c r="AC48" s="18"/>
      <c r="AD48" s="127">
        <v>1</v>
      </c>
      <c r="AE48" s="127">
        <v>1</v>
      </c>
      <c r="AF48" s="127">
        <v>1</v>
      </c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</row>
    <row r="49" spans="1:50">
      <c r="A49" s="102" t="s">
        <v>150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6">
        <f>(5+4.4+5.28)+(0.2+2.8+2.8+0.2)</f>
        <v>20.68</v>
      </c>
      <c r="AN49" s="6">
        <f>0.2+2.8+2.8+0.2</f>
        <v>6</v>
      </c>
      <c r="AO49" s="18"/>
      <c r="AP49" s="18"/>
      <c r="AQ49" s="18"/>
      <c r="AR49" s="18"/>
      <c r="AS49" s="18"/>
      <c r="AT49" s="18"/>
      <c r="AU49" s="18"/>
      <c r="AV49" s="18"/>
      <c r="AW49" s="18"/>
      <c r="AX49" s="18"/>
    </row>
    <row r="50" spans="1:50">
      <c r="A50" s="102" t="s">
        <v>151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26">
        <f>0.25*2</f>
        <v>0.5</v>
      </c>
      <c r="AU50" s="18"/>
      <c r="AV50" s="18"/>
      <c r="AW50" s="18"/>
      <c r="AX50" s="18"/>
    </row>
    <row r="51" spans="1:50">
      <c r="A51" s="102" t="s">
        <v>152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6">
        <f>(10.65+10.65+(4*10.5)+0.2+0.2+0.2)+(12.85+12.85+4.4+4.4+4.4)</f>
        <v>102.80000000000001</v>
      </c>
      <c r="AN51" s="6">
        <f>10.65+10.65+(4*10.5)+0.2+0.2+0.2</f>
        <v>63.900000000000006</v>
      </c>
      <c r="AO51" s="18"/>
      <c r="AP51" s="18"/>
      <c r="AQ51" s="18"/>
      <c r="AR51" s="18"/>
      <c r="AS51" s="18"/>
      <c r="AT51" s="126">
        <f>0.25*2</f>
        <v>0.5</v>
      </c>
      <c r="AU51" s="18"/>
      <c r="AV51" s="18"/>
      <c r="AW51" s="18"/>
      <c r="AX51" s="18"/>
    </row>
    <row r="52" spans="1:50">
      <c r="A52" s="102" t="s">
        <v>153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26">
        <f>0.25*(2+2)</f>
        <v>1</v>
      </c>
      <c r="AU52" s="18"/>
      <c r="AV52" s="18"/>
      <c r="AW52" s="18"/>
      <c r="AX52" s="18"/>
    </row>
    <row r="53" spans="1:50">
      <c r="AI53" s="39"/>
      <c r="AU53" s="39"/>
      <c r="AV53" s="39"/>
      <c r="AW53" s="39"/>
      <c r="AX53" s="39"/>
    </row>
    <row r="54" spans="1:50">
      <c r="A54" s="102" t="s">
        <v>338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25"/>
      <c r="AJ54" s="18"/>
      <c r="AK54" s="18"/>
      <c r="AL54" s="18"/>
      <c r="AM54" s="16">
        <f>2.44+2.44+16.28+4.34+14.15+14.23+14.15+2.19+6.75+2.93</f>
        <v>79.900000000000006</v>
      </c>
      <c r="AN54" s="16">
        <f>2.44+16.28+14.15+14.23+14.15+2.19+6.75</f>
        <v>70.19</v>
      </c>
      <c r="AO54" s="18"/>
      <c r="AP54" s="18"/>
      <c r="AQ54" s="126">
        <v>48.93</v>
      </c>
      <c r="AR54" s="18"/>
      <c r="AS54" s="18"/>
      <c r="AT54" s="18"/>
      <c r="AU54" s="125"/>
      <c r="AV54" s="125"/>
      <c r="AW54" s="125"/>
      <c r="AX54" s="125"/>
    </row>
    <row r="57" spans="1:50">
      <c r="A57" s="102" t="s">
        <v>83</v>
      </c>
      <c r="B57" s="28">
        <f>SUM(B2:B54)</f>
        <v>7</v>
      </c>
      <c r="C57" s="28">
        <f t="shared" ref="C57:T57" si="2">SUM(C2:C54)</f>
        <v>7</v>
      </c>
      <c r="D57" s="28">
        <f t="shared" si="2"/>
        <v>14</v>
      </c>
      <c r="E57" s="28">
        <f t="shared" si="2"/>
        <v>7</v>
      </c>
      <c r="F57" s="28">
        <f t="shared" si="2"/>
        <v>10</v>
      </c>
      <c r="G57" s="28">
        <f t="shared" si="2"/>
        <v>10</v>
      </c>
      <c r="H57" s="28">
        <f t="shared" si="2"/>
        <v>9</v>
      </c>
      <c r="I57" s="28">
        <f t="shared" si="2"/>
        <v>8</v>
      </c>
      <c r="J57" s="28">
        <f t="shared" si="2"/>
        <v>7</v>
      </c>
      <c r="K57" s="28">
        <f t="shared" si="2"/>
        <v>3</v>
      </c>
      <c r="L57" s="28">
        <f t="shared" si="2"/>
        <v>3</v>
      </c>
      <c r="M57" s="28">
        <f t="shared" si="2"/>
        <v>2</v>
      </c>
      <c r="N57" s="28">
        <f t="shared" si="2"/>
        <v>2</v>
      </c>
      <c r="O57" s="28">
        <f t="shared" si="2"/>
        <v>4</v>
      </c>
      <c r="P57" s="41">
        <f>SUM(P2:P54)</f>
        <v>11.132999999999999</v>
      </c>
      <c r="Q57" s="28">
        <f t="shared" si="2"/>
        <v>37</v>
      </c>
      <c r="R57" s="28">
        <f t="shared" si="2"/>
        <v>37</v>
      </c>
      <c r="S57" s="28">
        <f t="shared" si="2"/>
        <v>37</v>
      </c>
      <c r="T57" s="28">
        <f t="shared" si="2"/>
        <v>18</v>
      </c>
      <c r="U57" s="41">
        <f>SUM(U2:U54)</f>
        <v>22.852500000000003</v>
      </c>
      <c r="V57" s="41">
        <f>SUM(V2:V54)</f>
        <v>8.3500000000000014</v>
      </c>
      <c r="W57" s="29">
        <f>SUM(W2:W54)</f>
        <v>68.795000000000002</v>
      </c>
      <c r="X57" s="29">
        <f>SUM(X2:X54)</f>
        <v>54.695</v>
      </c>
      <c r="Y57" s="28">
        <f>SUM(Y2:Y54)</f>
        <v>13</v>
      </c>
      <c r="Z57" s="18"/>
      <c r="AA57" s="28">
        <f t="shared" ref="AA57:AH57" si="3">SUM(AA2:AA54)</f>
        <v>21</v>
      </c>
      <c r="AB57" s="28">
        <f t="shared" si="3"/>
        <v>7</v>
      </c>
      <c r="AC57" s="28">
        <f t="shared" si="3"/>
        <v>7</v>
      </c>
      <c r="AD57" s="28">
        <f t="shared" si="3"/>
        <v>34</v>
      </c>
      <c r="AE57" s="28">
        <f t="shared" si="3"/>
        <v>13</v>
      </c>
      <c r="AF57" s="28">
        <f t="shared" si="3"/>
        <v>13</v>
      </c>
      <c r="AG57" s="28">
        <f t="shared" si="3"/>
        <v>2</v>
      </c>
      <c r="AH57" s="28">
        <f t="shared" si="3"/>
        <v>5</v>
      </c>
      <c r="AI57" s="41">
        <f t="shared" ref="AI57:AN57" si="4">SUM(AI2:AI54)</f>
        <v>24.246000000000002</v>
      </c>
      <c r="AJ57" s="128">
        <f t="shared" si="4"/>
        <v>1</v>
      </c>
      <c r="AK57" s="128">
        <f t="shared" si="4"/>
        <v>1</v>
      </c>
      <c r="AL57" s="29">
        <f t="shared" si="4"/>
        <v>95.41</v>
      </c>
      <c r="AM57" s="29">
        <f t="shared" si="4"/>
        <v>224.06000000000003</v>
      </c>
      <c r="AN57" s="29">
        <f t="shared" si="4"/>
        <v>146.09</v>
      </c>
      <c r="AO57" s="18"/>
      <c r="AP57" s="18"/>
      <c r="AQ57" s="41">
        <f>SUM(AQ2:AQ54)</f>
        <v>48.93</v>
      </c>
      <c r="AR57" s="28">
        <f t="shared" ref="AR57:AS57" si="5">SUM(AR2:AR54)</f>
        <v>2</v>
      </c>
      <c r="AS57" s="28">
        <f t="shared" si="5"/>
        <v>2</v>
      </c>
      <c r="AT57" s="41">
        <f>SUM(AT2:AT54)</f>
        <v>21.490000000000002</v>
      </c>
      <c r="AU57" s="41">
        <f>SUM(AU2:AU54)</f>
        <v>6.46</v>
      </c>
      <c r="AV57" s="41">
        <f>SUM(AV2:AV54)</f>
        <v>30.26</v>
      </c>
      <c r="AW57" s="125"/>
      <c r="AX57" s="125"/>
    </row>
    <row r="58" spans="1:50" hidden="1"/>
    <row r="59" spans="1:50" hidden="1">
      <c r="B59" s="134" t="s">
        <v>422</v>
      </c>
      <c r="C59" s="134" t="s">
        <v>423</v>
      </c>
      <c r="D59" s="134" t="s">
        <v>424</v>
      </c>
      <c r="E59" s="134" t="s">
        <v>391</v>
      </c>
      <c r="F59" s="134" t="s">
        <v>391</v>
      </c>
      <c r="G59" s="134" t="s">
        <v>425</v>
      </c>
      <c r="H59" s="134" t="s">
        <v>426</v>
      </c>
      <c r="I59" s="134" t="s">
        <v>427</v>
      </c>
      <c r="J59" s="134" t="s">
        <v>428</v>
      </c>
      <c r="K59" s="134" t="s">
        <v>429</v>
      </c>
      <c r="L59" s="134" t="s">
        <v>430</v>
      </c>
      <c r="M59" s="134" t="s">
        <v>431</v>
      </c>
      <c r="N59" s="134" t="s">
        <v>391</v>
      </c>
      <c r="O59" s="134" t="s">
        <v>432</v>
      </c>
      <c r="P59" s="134" t="s">
        <v>433</v>
      </c>
      <c r="Q59" s="134" t="s">
        <v>434</v>
      </c>
      <c r="R59" s="134" t="s">
        <v>435</v>
      </c>
      <c r="S59" s="134" t="s">
        <v>436</v>
      </c>
      <c r="T59" s="134" t="s">
        <v>437</v>
      </c>
      <c r="U59" s="134" t="s">
        <v>391</v>
      </c>
      <c r="V59" s="134" t="s">
        <v>438</v>
      </c>
      <c r="W59" s="134" t="s">
        <v>439</v>
      </c>
      <c r="X59" s="134" t="s">
        <v>440</v>
      </c>
      <c r="Y59" s="134" t="s">
        <v>441</v>
      </c>
      <c r="Z59" s="134" t="s">
        <v>442</v>
      </c>
      <c r="AA59" s="134" t="s">
        <v>443</v>
      </c>
      <c r="AB59" s="134" t="s">
        <v>391</v>
      </c>
      <c r="AC59" s="134" t="s">
        <v>391</v>
      </c>
      <c r="AD59" s="134" t="s">
        <v>444</v>
      </c>
      <c r="AE59" s="134" t="s">
        <v>445</v>
      </c>
      <c r="AF59" s="134" t="s">
        <v>446</v>
      </c>
      <c r="AG59" s="134" t="s">
        <v>391</v>
      </c>
      <c r="AH59" s="134" t="s">
        <v>391</v>
      </c>
      <c r="AI59" s="134" t="s">
        <v>447</v>
      </c>
      <c r="AJ59" s="135" t="s">
        <v>448</v>
      </c>
      <c r="AK59" s="134" t="s">
        <v>449</v>
      </c>
      <c r="AL59" s="134" t="s">
        <v>450</v>
      </c>
      <c r="AM59" s="134" t="s">
        <v>451</v>
      </c>
      <c r="AN59" s="134" t="s">
        <v>452</v>
      </c>
      <c r="AO59" s="134" t="s">
        <v>453</v>
      </c>
      <c r="AP59" s="134" t="s">
        <v>391</v>
      </c>
      <c r="AQ59" s="134" t="s">
        <v>454</v>
      </c>
      <c r="AR59" s="134" t="s">
        <v>455</v>
      </c>
      <c r="AS59" s="134" t="s">
        <v>456</v>
      </c>
      <c r="AT59" s="134" t="s">
        <v>457</v>
      </c>
      <c r="AU59" s="134" t="s">
        <v>458</v>
      </c>
      <c r="AV59" s="134" t="s">
        <v>391</v>
      </c>
      <c r="AW59" s="134" t="s">
        <v>391</v>
      </c>
      <c r="AX59" s="134" t="s">
        <v>391</v>
      </c>
    </row>
    <row r="60" spans="1:50" hidden="1"/>
    <row r="61" spans="1:50" hidden="1">
      <c r="AM61" s="134" t="s">
        <v>459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ignoredErrors>
    <ignoredError sqref="P31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>
  <sheetPr codeName="Plan35">
    <tabColor rgb="FF00FF00"/>
    <pageSetUpPr fitToPage="1"/>
  </sheetPr>
  <dimension ref="A1:AL14"/>
  <sheetViews>
    <sheetView view="pageBreakPreview" zoomScale="60" zoomScaleNormal="85" workbookViewId="0">
      <selection activeCell="AE13" sqref="AE13"/>
    </sheetView>
  </sheetViews>
  <sheetFormatPr defaultRowHeight="15"/>
  <cols>
    <col min="1" max="1" width="20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47" t="s">
        <v>490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</row>
    <row r="2" spans="1:38" s="3" customFormat="1">
      <c r="A2" s="12" t="s">
        <v>21</v>
      </c>
      <c r="D2" s="147" t="s">
        <v>6</v>
      </c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38" s="3" customFormat="1">
      <c r="A3" s="48">
        <v>3.75</v>
      </c>
      <c r="D3" s="148" t="s">
        <v>9</v>
      </c>
      <c r="E3" s="149"/>
      <c r="F3" s="148" t="s">
        <v>12</v>
      </c>
      <c r="G3" s="149"/>
      <c r="H3" s="148" t="s">
        <v>13</v>
      </c>
      <c r="I3" s="149"/>
      <c r="J3" s="148" t="s">
        <v>14</v>
      </c>
      <c r="K3" s="149"/>
      <c r="L3" s="148" t="s">
        <v>15</v>
      </c>
      <c r="M3" s="149"/>
      <c r="N3" s="148" t="s">
        <v>16</v>
      </c>
      <c r="O3" s="149"/>
      <c r="P3" s="148" t="s">
        <v>17</v>
      </c>
      <c r="Q3" s="149"/>
      <c r="R3" s="147" t="s">
        <v>18</v>
      </c>
      <c r="S3" s="147"/>
      <c r="T3" s="147" t="s">
        <v>19</v>
      </c>
      <c r="U3" s="147"/>
      <c r="V3" s="147" t="s">
        <v>20</v>
      </c>
      <c r="W3" s="147"/>
      <c r="X3" s="147" t="s">
        <v>22</v>
      </c>
      <c r="Y3" s="147"/>
      <c r="Z3" s="147" t="s">
        <v>23</v>
      </c>
      <c r="AA3" s="147"/>
    </row>
    <row r="4" spans="1:38" ht="30" customHeight="1">
      <c r="A4" s="1"/>
      <c r="B4" s="11" t="s">
        <v>485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139" t="s">
        <v>486</v>
      </c>
      <c r="B5" s="7">
        <f>0.2+0.2+1.95+0.2+0.2+1.45</f>
        <v>4.2</v>
      </c>
      <c r="C5" s="4">
        <f t="shared" ref="C5:C8" si="0">(B5*$A$3)-((D5*E5)+(F5*G5)+(H5*I5)+(J5*K5)+(L5*M5)+(N5*O5)+(P5*Q5)+(R5*S5)+(T5*U5)+(V5*W5)+(X5*Y5)+(Z5*AA5))</f>
        <v>15.75</v>
      </c>
      <c r="D5" s="77"/>
      <c r="E5" s="78"/>
      <c r="F5" s="77"/>
      <c r="G5" s="78"/>
      <c r="H5" s="77"/>
      <c r="I5" s="78"/>
      <c r="J5" s="77"/>
      <c r="K5" s="78"/>
      <c r="L5" s="77"/>
      <c r="M5" s="78"/>
      <c r="N5" s="77"/>
      <c r="O5" s="78"/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E5" s="1"/>
      <c r="AF5" s="1"/>
      <c r="AG5" s="1"/>
      <c r="AH5" s="1"/>
      <c r="AI5" s="1"/>
      <c r="AJ5" s="1"/>
      <c r="AK5" s="1"/>
      <c r="AL5" s="1"/>
    </row>
    <row r="6" spans="1:38">
      <c r="A6" s="139" t="s">
        <v>487</v>
      </c>
      <c r="B6" s="7">
        <f>0.4+0.4+3.35+0.4+1.55+0.4+0.4+15</f>
        <v>21.900000000000002</v>
      </c>
      <c r="C6" s="4">
        <f t="shared" si="0"/>
        <v>82.125000000000014</v>
      </c>
      <c r="D6" s="77"/>
      <c r="E6" s="78"/>
      <c r="F6" s="77"/>
      <c r="G6" s="78"/>
      <c r="H6" s="77"/>
      <c r="I6" s="78"/>
      <c r="J6" s="77"/>
      <c r="K6" s="78"/>
      <c r="L6" s="77"/>
      <c r="M6" s="78"/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E6" s="1"/>
      <c r="AF6" s="1"/>
      <c r="AG6" s="1"/>
      <c r="AH6" s="1"/>
      <c r="AI6" s="1"/>
      <c r="AJ6" s="1"/>
      <c r="AK6" s="1"/>
      <c r="AL6" s="1"/>
    </row>
    <row r="7" spans="1:38">
      <c r="A7" s="139" t="s">
        <v>488</v>
      </c>
      <c r="B7" s="140"/>
      <c r="C7" s="4">
        <f t="shared" si="0"/>
        <v>0</v>
      </c>
      <c r="D7" s="77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E7" s="1"/>
      <c r="AF7" s="1"/>
      <c r="AG7" s="1"/>
      <c r="AH7" s="1"/>
      <c r="AI7" s="1"/>
      <c r="AJ7" s="1"/>
      <c r="AK7" s="1"/>
      <c r="AL7" s="1"/>
    </row>
    <row r="8" spans="1:38">
      <c r="A8" s="139" t="s">
        <v>489</v>
      </c>
      <c r="B8" s="140"/>
      <c r="C8" s="4">
        <f t="shared" si="0"/>
        <v>0</v>
      </c>
      <c r="D8" s="77"/>
      <c r="E8" s="78"/>
      <c r="F8" s="77"/>
      <c r="G8" s="78"/>
      <c r="H8" s="77"/>
      <c r="I8" s="78"/>
      <c r="J8" s="77"/>
      <c r="K8" s="78"/>
      <c r="L8" s="77"/>
      <c r="M8" s="78"/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E8" s="1"/>
      <c r="AF8" s="1"/>
      <c r="AG8" s="1"/>
      <c r="AH8" s="1"/>
      <c r="AI8" s="1"/>
      <c r="AJ8" s="1"/>
      <c r="AK8" s="1"/>
      <c r="AL8" s="1"/>
    </row>
    <row r="11" spans="1:38">
      <c r="A11" s="139" t="s">
        <v>83</v>
      </c>
      <c r="B11" s="155">
        <f>SUM(C5:C8)</f>
        <v>97.875000000000014</v>
      </c>
      <c r="C11" s="156"/>
    </row>
    <row r="14" spans="1:38">
      <c r="B14" s="142"/>
    </row>
  </sheetData>
  <mergeCells count="15">
    <mergeCell ref="B11:C11"/>
    <mergeCell ref="A1:AA1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ageMargins left="0.51181102362204722" right="0.51181102362204722" top="0.78740157480314965" bottom="0.78740157480314965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4">
    <tabColor rgb="FF00FF00"/>
  </sheetPr>
  <dimension ref="A1:AL104"/>
  <sheetViews>
    <sheetView view="pageBreakPreview" zoomScale="85" zoomScaleNormal="100" zoomScaleSheetLayoutView="85" workbookViewId="0">
      <pane ySplit="4" topLeftCell="A83" activePane="bottomLeft" state="frozenSplit"/>
      <selection pane="bottomLeft" activeCell="J7" sqref="J7"/>
    </sheetView>
  </sheetViews>
  <sheetFormatPr defaultRowHeight="15"/>
  <cols>
    <col min="1" max="1" width="15.7109375" style="5" customWidth="1"/>
    <col min="2" max="3" width="10.7109375" style="5" customWidth="1"/>
    <col min="4" max="27" width="7.7109375" style="5" customWidth="1"/>
    <col min="28" max="30" width="10.7109375" style="5" customWidth="1"/>
    <col min="31" max="32" width="9.140625" style="5"/>
    <col min="33" max="33" width="15.7109375" style="5" customWidth="1"/>
    <col min="34" max="36" width="9.140625" style="5"/>
    <col min="37" max="37" width="15.7109375" style="5" customWidth="1"/>
    <col min="38" max="16384" width="9.140625" style="5"/>
  </cols>
  <sheetData>
    <row r="1" spans="1:38">
      <c r="A1" s="150" t="s">
        <v>352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2"/>
    </row>
    <row r="2" spans="1:38" s="3" customFormat="1">
      <c r="A2" s="12" t="s">
        <v>21</v>
      </c>
      <c r="D2" s="147" t="s">
        <v>6</v>
      </c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38" s="3" customFormat="1">
      <c r="A3" s="48">
        <f>Memória!A2</f>
        <v>3.4</v>
      </c>
      <c r="D3" s="148" t="s">
        <v>9</v>
      </c>
      <c r="E3" s="149"/>
      <c r="F3" s="148" t="s">
        <v>12</v>
      </c>
      <c r="G3" s="149"/>
      <c r="H3" s="148" t="s">
        <v>13</v>
      </c>
      <c r="I3" s="149"/>
      <c r="J3" s="148" t="s">
        <v>14</v>
      </c>
      <c r="K3" s="149"/>
      <c r="L3" s="148" t="s">
        <v>15</v>
      </c>
      <c r="M3" s="149"/>
      <c r="N3" s="148" t="s">
        <v>16</v>
      </c>
      <c r="O3" s="149"/>
      <c r="P3" s="148" t="s">
        <v>17</v>
      </c>
      <c r="Q3" s="149"/>
      <c r="R3" s="147" t="s">
        <v>18</v>
      </c>
      <c r="S3" s="147"/>
      <c r="T3" s="147" t="s">
        <v>19</v>
      </c>
      <c r="U3" s="147"/>
      <c r="V3" s="147" t="s">
        <v>20</v>
      </c>
      <c r="W3" s="147"/>
      <c r="X3" s="147" t="s">
        <v>22</v>
      </c>
      <c r="Y3" s="147"/>
      <c r="Z3" s="147" t="s">
        <v>23</v>
      </c>
      <c r="AA3" s="147"/>
    </row>
    <row r="4" spans="1:38" ht="30" customHeight="1">
      <c r="A4" s="1"/>
      <c r="B4" s="19" t="s">
        <v>26</v>
      </c>
      <c r="C4" s="11" t="s">
        <v>3</v>
      </c>
      <c r="D4" s="2" t="s">
        <v>10</v>
      </c>
      <c r="E4" s="2" t="s">
        <v>11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E4" s="1"/>
      <c r="AF4" s="1"/>
      <c r="AG4" s="1"/>
      <c r="AH4" s="1"/>
      <c r="AI4" s="1"/>
      <c r="AJ4" s="1"/>
      <c r="AK4" s="1"/>
      <c r="AL4" s="1"/>
    </row>
    <row r="5" spans="1:38">
      <c r="A5" s="67" t="s">
        <v>27</v>
      </c>
      <c r="B5" s="6">
        <v>11.52</v>
      </c>
      <c r="C5" s="4">
        <f t="shared" ref="C5:C99" si="0">(B5*$A$3)-((D5*E5)+(F5*G5)+(H5*I5)+(J5*K5)+(L5*M5)+(N5*O5)+(P5*Q5)+(R5*S5)+(T5*U5)+(V5*W5)+(X5*Y5)+(Z5*AA5))</f>
        <v>35.167999999999999</v>
      </c>
      <c r="D5" s="75">
        <v>2</v>
      </c>
      <c r="E5" s="76">
        <v>1</v>
      </c>
      <c r="F5" s="75">
        <v>2</v>
      </c>
      <c r="G5" s="76">
        <v>1</v>
      </c>
      <c r="H5" s="77"/>
      <c r="I5" s="78"/>
      <c r="J5" s="77"/>
      <c r="K5" s="78"/>
      <c r="L5" s="77"/>
      <c r="M5" s="78"/>
      <c r="N5" s="77"/>
      <c r="O5" s="78"/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E5" s="1"/>
      <c r="AF5" s="1"/>
      <c r="AG5" s="1"/>
      <c r="AH5" s="1"/>
      <c r="AI5" s="1"/>
      <c r="AJ5" s="1"/>
      <c r="AK5" s="1"/>
      <c r="AL5" s="1"/>
    </row>
    <row r="6" spans="1:38">
      <c r="A6" s="67" t="s">
        <v>28</v>
      </c>
      <c r="B6" s="6">
        <v>14.8</v>
      </c>
      <c r="C6" s="4">
        <f t="shared" si="0"/>
        <v>42.17</v>
      </c>
      <c r="D6" s="75">
        <v>1</v>
      </c>
      <c r="E6" s="76">
        <v>0.8</v>
      </c>
      <c r="F6" s="75">
        <v>2.75</v>
      </c>
      <c r="G6" s="76">
        <v>1</v>
      </c>
      <c r="H6" s="75">
        <v>1</v>
      </c>
      <c r="I6" s="76">
        <v>0.8</v>
      </c>
      <c r="J6" s="75">
        <v>3</v>
      </c>
      <c r="K6" s="76">
        <v>1</v>
      </c>
      <c r="L6" s="75">
        <v>1</v>
      </c>
      <c r="M6" s="76">
        <v>0.8</v>
      </c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E6" s="1"/>
      <c r="AF6" s="1"/>
      <c r="AI6" s="1"/>
      <c r="AJ6" s="1"/>
    </row>
    <row r="7" spans="1:38">
      <c r="A7" s="67" t="s">
        <v>29</v>
      </c>
      <c r="B7" s="6">
        <v>1.95</v>
      </c>
      <c r="C7" s="4">
        <f>(B7*$A$3)-((D7*E7)+(F7*G7)+(H7*I7)+(J7*K7)+(L7*M7)+(N7*O7)+(P7*Q7)+(R7*S7)+(T7*U7)+(V7*W7)+(X7*Y7)+(Z7*AA7))</f>
        <v>4.9499999999999993</v>
      </c>
      <c r="D7" s="77"/>
      <c r="E7" s="78"/>
      <c r="F7" s="77"/>
      <c r="G7" s="78"/>
      <c r="H7" s="77"/>
      <c r="I7" s="78"/>
      <c r="J7" s="77"/>
      <c r="K7" s="78"/>
      <c r="L7" s="75">
        <v>0.8</v>
      </c>
      <c r="M7" s="76">
        <v>2.1</v>
      </c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</row>
    <row r="8" spans="1:38">
      <c r="A8" s="67" t="s">
        <v>30</v>
      </c>
      <c r="B8" s="6">
        <v>2.5</v>
      </c>
      <c r="C8" s="4">
        <f>(B8*$A$3)-((D8*E8)+(F8*G8)+(H8*I8)+(J8*K8)+(L8*M8)+(N8*O8)+(P8*Q8)+(R8*S8)+(T8*U8)+(V8*W8)+(X8*Y8)+(Z8*AA8))</f>
        <v>8.5</v>
      </c>
      <c r="D8" s="77"/>
      <c r="E8" s="78"/>
      <c r="F8" s="77"/>
      <c r="G8" s="78"/>
      <c r="H8" s="77"/>
      <c r="I8" s="78"/>
      <c r="J8" s="77"/>
      <c r="K8" s="78"/>
      <c r="L8" s="77"/>
      <c r="M8" s="78"/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</row>
    <row r="9" spans="1:38">
      <c r="A9" s="67" t="s">
        <v>31</v>
      </c>
      <c r="B9" s="6">
        <v>2.5</v>
      </c>
      <c r="C9" s="4">
        <f>(B9*$A$3)-((D9*E9)+(F9*G9)+(H9*I9)+(J9*K9)+(L9*M9)+(N9*O9)+(P9*Q9)+(R9*S9)+(T9*U9)+(V9*W9)+(X9*Y9)+(Z9*AA9))</f>
        <v>8.5</v>
      </c>
      <c r="D9" s="77"/>
      <c r="E9" s="78"/>
      <c r="F9" s="77"/>
      <c r="G9" s="78"/>
      <c r="H9" s="77"/>
      <c r="I9" s="78"/>
      <c r="J9" s="77"/>
      <c r="K9" s="78"/>
      <c r="L9" s="77"/>
      <c r="M9" s="78"/>
      <c r="N9" s="77"/>
      <c r="O9" s="78"/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</row>
    <row r="10" spans="1:38">
      <c r="A10" s="67" t="s">
        <v>32</v>
      </c>
      <c r="B10" s="6">
        <v>8.6300000000000008</v>
      </c>
      <c r="C10" s="4">
        <f t="shared" si="0"/>
        <v>29.342000000000002</v>
      </c>
      <c r="D10" s="77"/>
      <c r="E10" s="78"/>
      <c r="F10" s="77"/>
      <c r="G10" s="78"/>
      <c r="H10" s="77"/>
      <c r="I10" s="78"/>
      <c r="J10" s="77"/>
      <c r="K10" s="78"/>
      <c r="L10" s="77"/>
      <c r="M10" s="78"/>
      <c r="N10" s="77"/>
      <c r="O10" s="78"/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E10" s="1"/>
      <c r="AF10" s="1"/>
      <c r="AG10" s="1"/>
      <c r="AH10" s="1"/>
      <c r="AI10" s="1"/>
      <c r="AJ10" s="1"/>
      <c r="AK10" s="1"/>
      <c r="AL10" s="1"/>
    </row>
    <row r="11" spans="1:38">
      <c r="A11" s="67" t="s">
        <v>33</v>
      </c>
      <c r="B11" s="6">
        <v>9.75</v>
      </c>
      <c r="C11" s="4">
        <f t="shared" si="0"/>
        <v>24.339999999999996</v>
      </c>
      <c r="D11" s="75">
        <v>2.2000000000000002</v>
      </c>
      <c r="E11" s="76">
        <v>1</v>
      </c>
      <c r="F11" s="75">
        <v>2.2000000000000002</v>
      </c>
      <c r="G11" s="76">
        <v>1</v>
      </c>
      <c r="H11" s="77"/>
      <c r="I11" s="78"/>
      <c r="J11" s="77"/>
      <c r="K11" s="78"/>
      <c r="L11" s="75">
        <v>2.1</v>
      </c>
      <c r="M11" s="76">
        <v>2.1</v>
      </c>
      <c r="N11" s="77"/>
      <c r="O11" s="78"/>
      <c r="P11" s="77"/>
      <c r="Q11" s="78"/>
      <c r="R11" s="77"/>
      <c r="S11" s="78"/>
      <c r="T11" s="77"/>
      <c r="U11" s="78"/>
      <c r="V11" s="77"/>
      <c r="W11" s="78"/>
      <c r="X11" s="77"/>
      <c r="Y11" s="78"/>
      <c r="Z11" s="77"/>
      <c r="AA11" s="78"/>
      <c r="AE11" s="1"/>
      <c r="AF11" s="1"/>
      <c r="AG11" s="1"/>
      <c r="AH11" s="1"/>
      <c r="AI11" s="1"/>
      <c r="AJ11" s="1"/>
      <c r="AK11" s="1"/>
      <c r="AL11" s="1"/>
    </row>
    <row r="12" spans="1:38">
      <c r="A12" s="67" t="s">
        <v>34</v>
      </c>
      <c r="B12" s="6">
        <v>10.55</v>
      </c>
      <c r="C12" s="4">
        <f>(B12*$A$3)-((D12*E12)+(F12*G12)+(H12*I12)+(J12*K12)+(L12*M12)+(N12*O12)+(P12*Q12)+(R12*S12)+(T12*U12)+(V12*W12)+(X12*Y12)+(Z12*AA12))</f>
        <v>22.620000000000005</v>
      </c>
      <c r="D12" s="77"/>
      <c r="E12" s="78"/>
      <c r="F12" s="77"/>
      <c r="G12" s="78"/>
      <c r="H12" s="77"/>
      <c r="I12" s="78"/>
      <c r="J12" s="77"/>
      <c r="K12" s="78"/>
      <c r="L12" s="75">
        <v>5</v>
      </c>
      <c r="M12" s="76">
        <v>2.65</v>
      </c>
      <c r="N12" s="77"/>
      <c r="O12" s="78"/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</row>
    <row r="13" spans="1:38">
      <c r="A13" s="67" t="s">
        <v>35</v>
      </c>
      <c r="B13" s="6">
        <v>0.85</v>
      </c>
      <c r="C13" s="4">
        <f>(B13*$A$3)-((D13*E13)+(F13*G13)+(H13*I13)+(J13*K13)+(L13*M13)+(N13*O13)+(P13*Q13)+(R13*S13)+(T13*U13)+(V13*W13)+(X13*Y13)+(Z13*AA13))</f>
        <v>2.8899999999999997</v>
      </c>
      <c r="D13" s="77"/>
      <c r="E13" s="78"/>
      <c r="F13" s="77"/>
      <c r="G13" s="78"/>
      <c r="H13" s="77"/>
      <c r="I13" s="78"/>
      <c r="J13" s="77"/>
      <c r="K13" s="78"/>
      <c r="L13" s="77"/>
      <c r="M13" s="78"/>
      <c r="N13" s="77"/>
      <c r="O13" s="78"/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</row>
    <row r="14" spans="1:38">
      <c r="A14" s="67" t="s">
        <v>36</v>
      </c>
      <c r="B14" s="7">
        <v>3.45</v>
      </c>
      <c r="C14" s="4">
        <f>(B14*$A$3)-((D14*E14)+(F14*G14)+(H14*I14)+(J14*K14)+(L14*M14)+(N14*O14)+(P14*Q14)+(R14*S14)+(T14*U14)+(V14*W14)+(X14*Y14)+(Z14*AA14))</f>
        <v>9.42</v>
      </c>
      <c r="D14" s="77"/>
      <c r="E14" s="78"/>
      <c r="F14" s="77"/>
      <c r="G14" s="78"/>
      <c r="H14" s="77"/>
      <c r="I14" s="78"/>
      <c r="J14" s="77"/>
      <c r="K14" s="78"/>
      <c r="L14" s="75">
        <v>1.1000000000000001</v>
      </c>
      <c r="M14" s="76">
        <v>2.1</v>
      </c>
      <c r="N14" s="77"/>
      <c r="O14" s="78"/>
      <c r="P14" s="77"/>
      <c r="Q14" s="78"/>
      <c r="R14" s="77"/>
      <c r="S14" s="78"/>
      <c r="T14" s="77"/>
      <c r="U14" s="78"/>
      <c r="V14" s="77"/>
      <c r="W14" s="78"/>
      <c r="X14" s="77"/>
      <c r="Y14" s="78"/>
      <c r="Z14" s="77"/>
      <c r="AA14" s="78"/>
    </row>
    <row r="15" spans="1:38">
      <c r="A15" s="67" t="s">
        <v>37</v>
      </c>
      <c r="B15" s="7">
        <v>2.1</v>
      </c>
      <c r="C15" s="4">
        <f>(B15*$A$3)-((D15*E15)+(F15*G15)+(H15*I15)+(J15*K15)+(L15*M15)+(N15*O15)+(P15*Q15)+(R15*S15)+(T15*U15)+(V15*W15)+(X15*Y15)+(Z15*AA15))</f>
        <v>5.4599999999999991</v>
      </c>
      <c r="D15" s="77"/>
      <c r="E15" s="78"/>
      <c r="F15" s="77"/>
      <c r="G15" s="78"/>
      <c r="H15" s="77"/>
      <c r="I15" s="78"/>
      <c r="J15" s="77"/>
      <c r="K15" s="78"/>
      <c r="L15" s="75">
        <v>0.8</v>
      </c>
      <c r="M15" s="76">
        <v>2.1</v>
      </c>
      <c r="N15" s="77"/>
      <c r="O15" s="78"/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</row>
    <row r="16" spans="1:38">
      <c r="A16" s="67" t="s">
        <v>38</v>
      </c>
      <c r="B16" s="7">
        <v>8.6300000000000008</v>
      </c>
      <c r="C16" s="4">
        <f t="shared" si="0"/>
        <v>29.342000000000002</v>
      </c>
      <c r="D16" s="77"/>
      <c r="E16" s="78"/>
      <c r="F16" s="77"/>
      <c r="G16" s="78"/>
      <c r="H16" s="77"/>
      <c r="I16" s="78"/>
      <c r="J16" s="77"/>
      <c r="K16" s="78"/>
      <c r="L16" s="77"/>
      <c r="M16" s="78"/>
      <c r="N16" s="77"/>
      <c r="O16" s="78"/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E16" s="1"/>
      <c r="AF16" s="1"/>
      <c r="AG16" s="1"/>
      <c r="AH16" s="1"/>
      <c r="AI16" s="1"/>
      <c r="AJ16" s="1"/>
      <c r="AK16" s="1"/>
      <c r="AL16" s="1"/>
    </row>
    <row r="17" spans="1:38">
      <c r="A17" s="67" t="s">
        <v>39</v>
      </c>
      <c r="B17" s="7">
        <v>1.9</v>
      </c>
      <c r="C17" s="4">
        <f t="shared" si="0"/>
        <v>3.6669999999999998</v>
      </c>
      <c r="D17" s="77"/>
      <c r="E17" s="78"/>
      <c r="F17" s="77"/>
      <c r="G17" s="78"/>
      <c r="H17" s="77"/>
      <c r="I17" s="78"/>
      <c r="J17" s="77"/>
      <c r="K17" s="78"/>
      <c r="L17" s="75">
        <v>1.33</v>
      </c>
      <c r="M17" s="76">
        <v>2.1</v>
      </c>
      <c r="N17" s="77"/>
      <c r="O17" s="78"/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E17" s="1"/>
      <c r="AF17" s="1"/>
      <c r="AG17" s="1"/>
      <c r="AH17" s="1"/>
      <c r="AI17" s="1"/>
      <c r="AJ17" s="1"/>
      <c r="AK17" s="1"/>
      <c r="AL17" s="1"/>
    </row>
    <row r="18" spans="1:38">
      <c r="A18" s="67" t="s">
        <v>40</v>
      </c>
      <c r="B18" s="7">
        <v>3.45</v>
      </c>
      <c r="C18" s="4">
        <f>(B18*$A$3)-((D18*E18)+(F18*G18)+(H18*I18)+(J18*K18)+(L18*M18)+(N18*O18)+(P18*Q18)+(R18*S18)+(T18*U18)+(V18*W18)+(X18*Y18)+(Z18*AA18))</f>
        <v>11.73</v>
      </c>
      <c r="D18" s="77"/>
      <c r="E18" s="78"/>
      <c r="F18" s="77"/>
      <c r="G18" s="78"/>
      <c r="H18" s="77"/>
      <c r="I18" s="78"/>
      <c r="J18" s="77"/>
      <c r="K18" s="78"/>
      <c r="L18" s="77"/>
      <c r="M18" s="78"/>
      <c r="N18" s="77"/>
      <c r="O18" s="78"/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</row>
    <row r="19" spans="1:38">
      <c r="A19" s="67" t="s">
        <v>41</v>
      </c>
      <c r="B19" s="7">
        <v>2.5</v>
      </c>
      <c r="C19" s="4">
        <f>(B19*$A$3)-((D19*E19)+(F19*G19)+(H19*I19)+(J19*K19)+(L19*M19)+(N19*O19)+(P19*Q19)+(R19*S19)+(T19*U19)+(V19*W19)+(X19*Y19)+(Z19*AA19))</f>
        <v>8.5</v>
      </c>
      <c r="D19" s="77"/>
      <c r="E19" s="78"/>
      <c r="F19" s="77"/>
      <c r="G19" s="78"/>
      <c r="H19" s="77"/>
      <c r="I19" s="78"/>
      <c r="J19" s="77"/>
      <c r="K19" s="78"/>
      <c r="L19" s="77"/>
      <c r="M19" s="78"/>
      <c r="N19" s="77"/>
      <c r="O19" s="78"/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</row>
    <row r="20" spans="1:38">
      <c r="A20" s="67" t="s">
        <v>42</v>
      </c>
      <c r="B20" s="7">
        <v>4.4000000000000004</v>
      </c>
      <c r="C20" s="4">
        <f t="shared" si="0"/>
        <v>14.96</v>
      </c>
      <c r="D20" s="77"/>
      <c r="E20" s="78"/>
      <c r="F20" s="77"/>
      <c r="G20" s="78"/>
      <c r="H20" s="77"/>
      <c r="I20" s="78"/>
      <c r="J20" s="77"/>
      <c r="K20" s="78"/>
      <c r="L20" s="77"/>
      <c r="M20" s="78"/>
      <c r="N20" s="77"/>
      <c r="O20" s="78"/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E20" s="1"/>
      <c r="AF20" s="1"/>
      <c r="AG20" s="1"/>
      <c r="AH20" s="1"/>
      <c r="AI20" s="1"/>
      <c r="AJ20" s="1"/>
      <c r="AK20" s="1"/>
      <c r="AL20" s="1"/>
    </row>
    <row r="21" spans="1:38">
      <c r="A21" s="67" t="s">
        <v>43</v>
      </c>
      <c r="B21" s="7">
        <v>4.55</v>
      </c>
      <c r="C21" s="4">
        <f t="shared" ref="C21:C39" si="1">(B21*$A$3)-((D21*E21)+(F21*G21)+(H21*I21)+(J21*K21)+(L21*M21)+(N21*O21)+(P21*Q21)+(R21*S21)+(T21*U21)+(V21*W21)+(X21*Y21)+(Z21*AA21))</f>
        <v>15.469999999999999</v>
      </c>
      <c r="D21" s="77"/>
      <c r="E21" s="78"/>
      <c r="F21" s="77"/>
      <c r="G21" s="78"/>
      <c r="H21" s="77"/>
      <c r="I21" s="78"/>
      <c r="J21" s="77"/>
      <c r="K21" s="78"/>
      <c r="L21" s="77"/>
      <c r="M21" s="78"/>
      <c r="N21" s="77"/>
      <c r="O21" s="78"/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</row>
    <row r="22" spans="1:38">
      <c r="A22" s="67" t="s">
        <v>44</v>
      </c>
      <c r="B22" s="7">
        <v>19.95</v>
      </c>
      <c r="C22" s="4">
        <f t="shared" si="1"/>
        <v>54.599999999999994</v>
      </c>
      <c r="D22" s="77"/>
      <c r="E22" s="78"/>
      <c r="F22" s="77"/>
      <c r="G22" s="78"/>
      <c r="H22" s="77"/>
      <c r="I22" s="78"/>
      <c r="J22" s="77"/>
      <c r="K22" s="78"/>
      <c r="L22" s="75">
        <v>1.1000000000000001</v>
      </c>
      <c r="M22" s="76">
        <v>2.1</v>
      </c>
      <c r="N22" s="75">
        <v>0.8</v>
      </c>
      <c r="O22" s="76">
        <v>2.1</v>
      </c>
      <c r="P22" s="75">
        <v>1.1000000000000001</v>
      </c>
      <c r="Q22" s="76">
        <v>2.1</v>
      </c>
      <c r="R22" s="75">
        <v>1.1000000000000001</v>
      </c>
      <c r="S22" s="76">
        <v>2.1</v>
      </c>
      <c r="T22" s="77"/>
      <c r="U22" s="78"/>
      <c r="V22" s="77"/>
      <c r="W22" s="78"/>
      <c r="X22" s="77"/>
      <c r="Y22" s="78"/>
      <c r="Z22" s="75">
        <v>2.2000000000000002</v>
      </c>
      <c r="AA22" s="76">
        <v>2.1</v>
      </c>
    </row>
    <row r="23" spans="1:38">
      <c r="A23" s="67" t="s">
        <v>45</v>
      </c>
      <c r="B23" s="6">
        <v>15.6</v>
      </c>
      <c r="C23" s="4">
        <f t="shared" si="1"/>
        <v>44.989999999999995</v>
      </c>
      <c r="D23" s="77"/>
      <c r="E23" s="78"/>
      <c r="F23" s="77"/>
      <c r="G23" s="78"/>
      <c r="H23" s="77"/>
      <c r="I23" s="78"/>
      <c r="J23" s="77"/>
      <c r="K23" s="78"/>
      <c r="L23" s="75">
        <v>0.8</v>
      </c>
      <c r="M23" s="76">
        <v>2.1</v>
      </c>
      <c r="N23" s="75">
        <v>1.1000000000000001</v>
      </c>
      <c r="O23" s="76">
        <v>2.1</v>
      </c>
      <c r="P23" s="75">
        <v>1.1000000000000001</v>
      </c>
      <c r="Q23" s="76">
        <v>2.1</v>
      </c>
      <c r="R23" s="77"/>
      <c r="S23" s="78"/>
      <c r="T23" s="77"/>
      <c r="U23" s="78"/>
      <c r="V23" s="77"/>
      <c r="W23" s="78"/>
      <c r="X23" s="75">
        <v>1.75</v>
      </c>
      <c r="Y23" s="76">
        <v>1</v>
      </c>
      <c r="Z23" s="77"/>
      <c r="AA23" s="78"/>
    </row>
    <row r="24" spans="1:38">
      <c r="A24" s="67" t="s">
        <v>46</v>
      </c>
      <c r="B24" s="6">
        <v>9.35</v>
      </c>
      <c r="C24" s="4">
        <f t="shared" si="1"/>
        <v>27.71</v>
      </c>
      <c r="D24" s="77"/>
      <c r="E24" s="78"/>
      <c r="F24" s="77"/>
      <c r="G24" s="78"/>
      <c r="H24" s="77"/>
      <c r="I24" s="78"/>
      <c r="J24" s="77"/>
      <c r="K24" s="78"/>
      <c r="L24" s="75">
        <v>0.8</v>
      </c>
      <c r="M24" s="76">
        <v>2.1</v>
      </c>
      <c r="N24" s="75">
        <v>0.8</v>
      </c>
      <c r="O24" s="76">
        <v>2.1</v>
      </c>
      <c r="P24" s="77"/>
      <c r="Q24" s="78"/>
      <c r="R24" s="77"/>
      <c r="S24" s="78"/>
      <c r="T24" s="77"/>
      <c r="U24" s="78"/>
      <c r="V24" s="77"/>
      <c r="W24" s="78"/>
      <c r="X24" s="75">
        <v>1.2</v>
      </c>
      <c r="Y24" s="76">
        <v>0.6</v>
      </c>
      <c r="Z24" s="77"/>
      <c r="AA24" s="78"/>
    </row>
    <row r="25" spans="1:38">
      <c r="A25" s="67" t="s">
        <v>47</v>
      </c>
      <c r="B25" s="6">
        <v>8.35</v>
      </c>
      <c r="C25" s="4">
        <f t="shared" si="1"/>
        <v>23.559999999999995</v>
      </c>
      <c r="D25" s="77"/>
      <c r="E25" s="78"/>
      <c r="F25" s="77"/>
      <c r="G25" s="78"/>
      <c r="H25" s="77"/>
      <c r="I25" s="78"/>
      <c r="J25" s="77"/>
      <c r="K25" s="78"/>
      <c r="L25" s="75">
        <v>1.1000000000000001</v>
      </c>
      <c r="M25" s="76">
        <v>2.1</v>
      </c>
      <c r="N25" s="75">
        <v>1.2</v>
      </c>
      <c r="O25" s="76">
        <v>2.1</v>
      </c>
      <c r="P25" s="77"/>
      <c r="Q25" s="78"/>
      <c r="R25" s="77"/>
      <c r="S25" s="78"/>
      <c r="T25" s="77"/>
      <c r="U25" s="78"/>
      <c r="V25" s="77"/>
      <c r="W25" s="78"/>
      <c r="X25" s="77"/>
      <c r="Y25" s="78"/>
      <c r="Z25" s="77"/>
      <c r="AA25" s="78"/>
    </row>
    <row r="26" spans="1:38">
      <c r="A26" s="67" t="s">
        <v>48</v>
      </c>
      <c r="B26" s="6">
        <v>5.5</v>
      </c>
      <c r="C26" s="4">
        <f t="shared" si="1"/>
        <v>15.34</v>
      </c>
      <c r="D26" s="77"/>
      <c r="E26" s="78"/>
      <c r="F26" s="77"/>
      <c r="G26" s="78"/>
      <c r="H26" s="77"/>
      <c r="I26" s="78"/>
      <c r="J26" s="77"/>
      <c r="K26" s="78"/>
      <c r="L26" s="75">
        <v>0.8</v>
      </c>
      <c r="M26" s="76">
        <v>2.1</v>
      </c>
      <c r="N26" s="75">
        <v>0.8</v>
      </c>
      <c r="O26" s="76">
        <v>2.1</v>
      </c>
      <c r="P26" s="77"/>
      <c r="Q26" s="78"/>
      <c r="R26" s="77"/>
      <c r="S26" s="78"/>
      <c r="T26" s="77"/>
      <c r="U26" s="78"/>
      <c r="V26" s="77"/>
      <c r="W26" s="78"/>
      <c r="X26" s="77"/>
      <c r="Y26" s="78"/>
      <c r="Z26" s="77"/>
      <c r="AA26" s="78"/>
    </row>
    <row r="27" spans="1:38">
      <c r="A27" s="67" t="s">
        <v>49</v>
      </c>
      <c r="B27" s="6">
        <v>7.9</v>
      </c>
      <c r="C27" s="4">
        <f t="shared" si="1"/>
        <v>21.82</v>
      </c>
      <c r="D27" s="77"/>
      <c r="E27" s="78"/>
      <c r="F27" s="77"/>
      <c r="G27" s="78"/>
      <c r="H27" s="77"/>
      <c r="I27" s="78"/>
      <c r="J27" s="77"/>
      <c r="K27" s="78"/>
      <c r="L27" s="75">
        <v>0.8</v>
      </c>
      <c r="M27" s="76">
        <v>2.1</v>
      </c>
      <c r="N27" s="75">
        <v>0.8</v>
      </c>
      <c r="O27" s="76">
        <v>2.1</v>
      </c>
      <c r="P27" s="75">
        <v>0.8</v>
      </c>
      <c r="Q27" s="76">
        <v>2.1</v>
      </c>
      <c r="R27" s="77"/>
      <c r="S27" s="78"/>
      <c r="T27" s="77"/>
      <c r="U27" s="78"/>
      <c r="V27" s="77"/>
      <c r="W27" s="78"/>
      <c r="X27" s="77"/>
      <c r="Y27" s="78"/>
      <c r="Z27" s="77"/>
      <c r="AA27" s="78"/>
    </row>
    <row r="28" spans="1:38">
      <c r="A28" s="67" t="s">
        <v>50</v>
      </c>
      <c r="B28" s="6">
        <v>6.5</v>
      </c>
      <c r="C28" s="4">
        <f t="shared" si="1"/>
        <v>17.059999999999995</v>
      </c>
      <c r="D28" s="77"/>
      <c r="E28" s="78"/>
      <c r="F28" s="77"/>
      <c r="G28" s="78"/>
      <c r="H28" s="77"/>
      <c r="I28" s="78"/>
      <c r="J28" s="77"/>
      <c r="K28" s="78"/>
      <c r="L28" s="75">
        <v>0.8</v>
      </c>
      <c r="M28" s="76">
        <v>2.1</v>
      </c>
      <c r="N28" s="75">
        <v>0.8</v>
      </c>
      <c r="O28" s="76">
        <v>2.1</v>
      </c>
      <c r="P28" s="75">
        <v>0.8</v>
      </c>
      <c r="Q28" s="76">
        <v>2.1</v>
      </c>
      <c r="R28" s="77"/>
      <c r="S28" s="78"/>
      <c r="T28" s="77"/>
      <c r="U28" s="78"/>
      <c r="V28" s="77"/>
      <c r="W28" s="78"/>
      <c r="X28" s="77"/>
      <c r="Y28" s="78"/>
      <c r="Z28" s="77"/>
      <c r="AA28" s="78"/>
    </row>
    <row r="29" spans="1:38">
      <c r="A29" s="67" t="s">
        <v>51</v>
      </c>
      <c r="B29" s="6">
        <v>9.1999999999999993</v>
      </c>
      <c r="C29" s="4">
        <f t="shared" si="1"/>
        <v>29.599999999999998</v>
      </c>
      <c r="D29" s="77"/>
      <c r="E29" s="78"/>
      <c r="F29" s="77"/>
      <c r="G29" s="78"/>
      <c r="H29" s="77"/>
      <c r="I29" s="78"/>
      <c r="J29" s="77"/>
      <c r="K29" s="78"/>
      <c r="L29" s="75">
        <v>0.8</v>
      </c>
      <c r="M29" s="76">
        <v>2.1</v>
      </c>
      <c r="N29" s="77"/>
      <c r="O29" s="78"/>
      <c r="P29" s="77"/>
      <c r="Q29" s="78"/>
      <c r="R29" s="77"/>
      <c r="S29" s="78"/>
      <c r="T29" s="77"/>
      <c r="U29" s="78"/>
      <c r="V29" s="77"/>
      <c r="W29" s="78"/>
      <c r="X29" s="77"/>
      <c r="Y29" s="78"/>
      <c r="Z29" s="77"/>
      <c r="AA29" s="78"/>
    </row>
    <row r="30" spans="1:38">
      <c r="A30" s="67" t="s">
        <v>52</v>
      </c>
      <c r="B30" s="6">
        <v>3.9</v>
      </c>
      <c r="C30" s="4">
        <f t="shared" si="1"/>
        <v>13.26</v>
      </c>
      <c r="D30" s="77"/>
      <c r="E30" s="78"/>
      <c r="F30" s="77"/>
      <c r="G30" s="78"/>
      <c r="H30" s="77"/>
      <c r="I30" s="78"/>
      <c r="J30" s="77"/>
      <c r="K30" s="78"/>
      <c r="L30" s="77"/>
      <c r="M30" s="78"/>
      <c r="N30" s="77"/>
      <c r="O30" s="78"/>
      <c r="P30" s="77"/>
      <c r="Q30" s="78"/>
      <c r="R30" s="77"/>
      <c r="S30" s="78"/>
      <c r="T30" s="77"/>
      <c r="U30" s="78"/>
      <c r="V30" s="77"/>
      <c r="W30" s="78"/>
      <c r="X30" s="77"/>
      <c r="Y30" s="78"/>
      <c r="Z30" s="77"/>
      <c r="AA30" s="78"/>
    </row>
    <row r="31" spans="1:38">
      <c r="A31" s="67" t="s">
        <v>53</v>
      </c>
      <c r="B31" s="6">
        <v>4</v>
      </c>
      <c r="C31" s="4">
        <f t="shared" si="1"/>
        <v>11.92</v>
      </c>
      <c r="D31" s="77"/>
      <c r="E31" s="78"/>
      <c r="F31" s="77"/>
      <c r="G31" s="78"/>
      <c r="H31" s="77"/>
      <c r="I31" s="78"/>
      <c r="J31" s="77"/>
      <c r="K31" s="78"/>
      <c r="L31" s="75">
        <v>0.8</v>
      </c>
      <c r="M31" s="76">
        <v>2.1</v>
      </c>
      <c r="N31" s="77"/>
      <c r="O31" s="78"/>
      <c r="P31" s="77"/>
      <c r="Q31" s="78"/>
      <c r="R31" s="77"/>
      <c r="S31" s="78"/>
      <c r="T31" s="77"/>
      <c r="U31" s="78"/>
      <c r="V31" s="77"/>
      <c r="W31" s="78"/>
      <c r="X31" s="77"/>
      <c r="Y31" s="78"/>
      <c r="Z31" s="77"/>
      <c r="AA31" s="78"/>
    </row>
    <row r="32" spans="1:38">
      <c r="A32" s="67" t="s">
        <v>54</v>
      </c>
      <c r="B32" s="6">
        <v>5.2</v>
      </c>
      <c r="C32" s="4">
        <f t="shared" si="1"/>
        <v>17.68</v>
      </c>
      <c r="D32" s="77"/>
      <c r="E32" s="78"/>
      <c r="F32" s="77"/>
      <c r="G32" s="78"/>
      <c r="H32" s="77"/>
      <c r="I32" s="78"/>
      <c r="J32" s="77"/>
      <c r="K32" s="78"/>
      <c r="L32" s="77"/>
      <c r="M32" s="78"/>
      <c r="N32" s="77"/>
      <c r="O32" s="78"/>
      <c r="P32" s="77"/>
      <c r="Q32" s="78"/>
      <c r="R32" s="77"/>
      <c r="S32" s="78"/>
      <c r="T32" s="77"/>
      <c r="U32" s="78"/>
      <c r="V32" s="77"/>
      <c r="W32" s="78"/>
      <c r="X32" s="77"/>
      <c r="Y32" s="78"/>
      <c r="Z32" s="77"/>
      <c r="AA32" s="78"/>
    </row>
    <row r="33" spans="1:38">
      <c r="A33" s="12" t="s">
        <v>55</v>
      </c>
      <c r="B33" s="47">
        <f>12.95</f>
        <v>12.95</v>
      </c>
      <c r="C33" s="4">
        <f t="shared" si="1"/>
        <v>41.509999999999991</v>
      </c>
      <c r="D33" s="77"/>
      <c r="E33" s="78"/>
      <c r="F33" s="77"/>
      <c r="G33" s="78"/>
      <c r="H33" s="77"/>
      <c r="I33" s="78"/>
      <c r="J33" s="77"/>
      <c r="K33" s="78"/>
      <c r="L33" s="77"/>
      <c r="M33" s="78"/>
      <c r="N33" s="77"/>
      <c r="O33" s="78"/>
      <c r="P33" s="77"/>
      <c r="Q33" s="78"/>
      <c r="R33" s="77"/>
      <c r="S33" s="78"/>
      <c r="T33" s="77"/>
      <c r="U33" s="78"/>
      <c r="V33" s="77"/>
      <c r="W33" s="78"/>
      <c r="X33" s="77"/>
      <c r="Y33" s="78"/>
      <c r="Z33" s="75">
        <v>1.2</v>
      </c>
      <c r="AA33" s="76">
        <v>2.1</v>
      </c>
    </row>
    <row r="34" spans="1:38">
      <c r="A34" s="12" t="s">
        <v>154</v>
      </c>
      <c r="B34" s="47">
        <v>2</v>
      </c>
      <c r="C34" s="4">
        <f t="shared" si="1"/>
        <v>6.8</v>
      </c>
      <c r="D34" s="77"/>
      <c r="E34" s="78"/>
      <c r="F34" s="77"/>
      <c r="G34" s="78"/>
      <c r="H34" s="77"/>
      <c r="I34" s="78"/>
      <c r="J34" s="77"/>
      <c r="K34" s="78"/>
      <c r="L34" s="77"/>
      <c r="M34" s="78"/>
      <c r="N34" s="77"/>
      <c r="O34" s="78"/>
      <c r="P34" s="77"/>
      <c r="Q34" s="78"/>
      <c r="R34" s="77"/>
      <c r="S34" s="78"/>
      <c r="T34" s="77"/>
      <c r="U34" s="78"/>
      <c r="V34" s="77"/>
      <c r="W34" s="78"/>
      <c r="X34" s="77"/>
      <c r="Y34" s="78"/>
      <c r="Z34" s="77"/>
      <c r="AA34" s="78"/>
    </row>
    <row r="35" spans="1:38">
      <c r="A35" s="12" t="s">
        <v>155</v>
      </c>
      <c r="B35" s="47">
        <v>3.35</v>
      </c>
      <c r="C35" s="4">
        <f t="shared" si="1"/>
        <v>11.39</v>
      </c>
      <c r="D35" s="77"/>
      <c r="E35" s="78"/>
      <c r="F35" s="77"/>
      <c r="G35" s="78"/>
      <c r="H35" s="77"/>
      <c r="I35" s="78"/>
      <c r="J35" s="77"/>
      <c r="K35" s="78"/>
      <c r="L35" s="77"/>
      <c r="M35" s="78"/>
      <c r="N35" s="77"/>
      <c r="O35" s="78"/>
      <c r="P35" s="77"/>
      <c r="Q35" s="78"/>
      <c r="R35" s="77"/>
      <c r="S35" s="78"/>
      <c r="T35" s="77"/>
      <c r="U35" s="78"/>
      <c r="V35" s="77"/>
      <c r="W35" s="78"/>
      <c r="X35" s="77"/>
      <c r="Y35" s="78"/>
      <c r="Z35" s="77"/>
      <c r="AA35" s="78"/>
    </row>
    <row r="36" spans="1:38">
      <c r="A36" s="12" t="s">
        <v>156</v>
      </c>
      <c r="B36" s="47">
        <v>5.55</v>
      </c>
      <c r="C36" s="4">
        <f t="shared" si="1"/>
        <v>13.409999999999997</v>
      </c>
      <c r="D36" s="77"/>
      <c r="E36" s="78"/>
      <c r="F36" s="77"/>
      <c r="G36" s="78"/>
      <c r="H36" s="77"/>
      <c r="I36" s="78"/>
      <c r="J36" s="77"/>
      <c r="K36" s="78"/>
      <c r="L36" s="90">
        <v>0.9</v>
      </c>
      <c r="M36" s="91">
        <v>2.1</v>
      </c>
      <c r="N36" s="90">
        <v>0.8</v>
      </c>
      <c r="O36" s="91">
        <v>2.1</v>
      </c>
      <c r="P36" s="90">
        <v>0.9</v>
      </c>
      <c r="Q36" s="91">
        <v>2.1</v>
      </c>
      <c r="R36" s="77"/>
      <c r="S36" s="78"/>
      <c r="T36" s="77"/>
      <c r="U36" s="78"/>
      <c r="V36" s="77"/>
      <c r="W36" s="78"/>
      <c r="X36" s="77"/>
      <c r="Y36" s="78"/>
      <c r="Z36" s="77"/>
      <c r="AA36" s="78"/>
    </row>
    <row r="37" spans="1:38">
      <c r="A37" s="12" t="s">
        <v>157</v>
      </c>
      <c r="B37" s="47">
        <v>2</v>
      </c>
      <c r="C37" s="4">
        <f t="shared" si="1"/>
        <v>6.8</v>
      </c>
      <c r="D37" s="77"/>
      <c r="E37" s="78"/>
      <c r="F37" s="77"/>
      <c r="G37" s="78"/>
      <c r="H37" s="77"/>
      <c r="I37" s="78"/>
      <c r="J37" s="77"/>
      <c r="K37" s="78"/>
      <c r="L37" s="77"/>
      <c r="M37" s="78"/>
      <c r="N37" s="77"/>
      <c r="O37" s="78"/>
      <c r="P37" s="77"/>
      <c r="Q37" s="78"/>
      <c r="R37" s="77"/>
      <c r="S37" s="78"/>
      <c r="T37" s="77"/>
      <c r="U37" s="78"/>
      <c r="V37" s="77"/>
      <c r="W37" s="78"/>
      <c r="X37" s="77"/>
      <c r="Y37" s="78"/>
      <c r="Z37" s="77"/>
      <c r="AA37" s="78"/>
    </row>
    <row r="38" spans="1:38">
      <c r="A38" s="12" t="s">
        <v>158</v>
      </c>
      <c r="B38" s="47">
        <v>6.9</v>
      </c>
      <c r="C38" s="4">
        <f t="shared" si="1"/>
        <v>19.05</v>
      </c>
      <c r="D38" s="77"/>
      <c r="E38" s="78"/>
      <c r="F38" s="77"/>
      <c r="G38" s="78"/>
      <c r="H38" s="77"/>
      <c r="I38" s="78"/>
      <c r="J38" s="77"/>
      <c r="K38" s="78"/>
      <c r="L38" s="90">
        <v>2.1</v>
      </c>
      <c r="M38" s="91">
        <v>2.1</v>
      </c>
      <c r="N38" s="77"/>
      <c r="O38" s="78"/>
      <c r="P38" s="77"/>
      <c r="Q38" s="78"/>
      <c r="R38" s="77"/>
      <c r="S38" s="78"/>
      <c r="T38" s="77"/>
      <c r="U38" s="78"/>
      <c r="V38" s="77"/>
      <c r="W38" s="78"/>
      <c r="X38" s="77"/>
      <c r="Y38" s="78"/>
      <c r="Z38" s="77"/>
      <c r="AA38" s="78"/>
    </row>
    <row r="39" spans="1:38">
      <c r="A39" s="12" t="s">
        <v>159</v>
      </c>
      <c r="B39" s="47">
        <v>6.2</v>
      </c>
      <c r="C39" s="4">
        <f t="shared" si="1"/>
        <v>21.08</v>
      </c>
      <c r="D39" s="77"/>
      <c r="E39" s="78"/>
      <c r="F39" s="77"/>
      <c r="G39" s="78"/>
      <c r="H39" s="77"/>
      <c r="I39" s="78"/>
      <c r="J39" s="77"/>
      <c r="K39" s="78"/>
      <c r="L39" s="77"/>
      <c r="M39" s="78"/>
      <c r="N39" s="77"/>
      <c r="O39" s="78"/>
      <c r="P39" s="77"/>
      <c r="Q39" s="78"/>
      <c r="R39" s="77"/>
      <c r="S39" s="78"/>
      <c r="T39" s="77"/>
      <c r="U39" s="78"/>
      <c r="V39" s="77"/>
      <c r="W39" s="78"/>
      <c r="X39" s="77"/>
      <c r="Y39" s="78"/>
      <c r="Z39" s="77"/>
      <c r="AA39" s="78"/>
    </row>
    <row r="40" spans="1:38">
      <c r="A40" s="12" t="s">
        <v>160</v>
      </c>
      <c r="B40" s="47">
        <v>14.5</v>
      </c>
      <c r="C40" s="4">
        <f t="shared" si="0"/>
        <v>35.4</v>
      </c>
      <c r="D40" s="90">
        <v>13.9</v>
      </c>
      <c r="E40" s="91">
        <v>1</v>
      </c>
      <c r="F40" s="77"/>
      <c r="G40" s="78"/>
      <c r="H40" s="77"/>
      <c r="I40" s="78"/>
      <c r="J40" s="77"/>
      <c r="K40" s="78"/>
      <c r="L40" s="77"/>
      <c r="M40" s="78"/>
      <c r="N40" s="77"/>
      <c r="O40" s="78"/>
      <c r="P40" s="77"/>
      <c r="Q40" s="78"/>
      <c r="R40" s="77"/>
      <c r="S40" s="78"/>
      <c r="T40" s="77"/>
      <c r="U40" s="78"/>
      <c r="V40" s="77"/>
      <c r="W40" s="78"/>
      <c r="X40" s="77"/>
      <c r="Y40" s="78"/>
      <c r="Z40" s="77"/>
      <c r="AA40" s="78"/>
      <c r="AE40" s="1"/>
      <c r="AF40" s="1"/>
      <c r="AG40" s="1"/>
      <c r="AH40" s="1"/>
      <c r="AI40" s="1"/>
      <c r="AJ40" s="1"/>
      <c r="AK40" s="1"/>
      <c r="AL40" s="1"/>
    </row>
    <row r="41" spans="1:38">
      <c r="A41" s="12" t="s">
        <v>161</v>
      </c>
      <c r="B41" s="47">
        <v>3.35</v>
      </c>
      <c r="C41" s="4">
        <f>(B41*$A$3)-((D41*E41)+(F41*G41)+(H41*I41)+(J41*K41)+(L41*M41)+(N41*O41)+(P41*Q41)+(R41*S41)+(T41*U41)+(V41*W41)+(X41*Y41)+(Z41*AA41))</f>
        <v>11.39</v>
      </c>
      <c r="D41" s="77"/>
      <c r="E41" s="78"/>
      <c r="F41" s="77"/>
      <c r="G41" s="78"/>
      <c r="H41" s="77"/>
      <c r="I41" s="78"/>
      <c r="J41" s="77"/>
      <c r="K41" s="78"/>
      <c r="L41" s="77"/>
      <c r="M41" s="78"/>
      <c r="N41" s="77"/>
      <c r="O41" s="78"/>
      <c r="P41" s="77"/>
      <c r="Q41" s="78"/>
      <c r="R41" s="77"/>
      <c r="S41" s="78"/>
      <c r="T41" s="77"/>
      <c r="U41" s="78"/>
      <c r="V41" s="77"/>
      <c r="W41" s="78"/>
      <c r="X41" s="77"/>
      <c r="Y41" s="78"/>
      <c r="Z41" s="77"/>
      <c r="AA41" s="78"/>
    </row>
    <row r="42" spans="1:38">
      <c r="A42" s="12" t="s">
        <v>162</v>
      </c>
      <c r="B42" s="47">
        <v>11.55</v>
      </c>
      <c r="C42" s="4">
        <f>(B42*$A$3)-((D42*E42)+(F42*G42)+(H42*I42)+(J42*K42)+(L42*M42)+(N42*O42)+(P42*Q42)+(R42*S42)+(T42*U42)+(V42*W42)+(X42*Y42)+(Z42*AA42))</f>
        <v>37.590000000000003</v>
      </c>
      <c r="D42" s="77"/>
      <c r="E42" s="78"/>
      <c r="F42" s="77"/>
      <c r="G42" s="78"/>
      <c r="H42" s="77"/>
      <c r="I42" s="78"/>
      <c r="J42" s="77"/>
      <c r="K42" s="78"/>
      <c r="L42" s="90">
        <v>0.8</v>
      </c>
      <c r="M42" s="91">
        <v>2.1</v>
      </c>
      <c r="N42" s="77"/>
      <c r="O42" s="78"/>
      <c r="P42" s="77"/>
      <c r="Q42" s="78"/>
      <c r="R42" s="77"/>
      <c r="S42" s="78"/>
      <c r="T42" s="77"/>
      <c r="U42" s="78"/>
      <c r="V42" s="77"/>
      <c r="W42" s="78"/>
      <c r="X42" s="77"/>
      <c r="Y42" s="78"/>
      <c r="Z42" s="77"/>
      <c r="AA42" s="78"/>
    </row>
    <row r="43" spans="1:38">
      <c r="A43" s="12" t="s">
        <v>163</v>
      </c>
      <c r="B43" s="47">
        <v>1.65</v>
      </c>
      <c r="C43" s="4">
        <f t="shared" si="0"/>
        <v>5.6099999999999994</v>
      </c>
      <c r="D43" s="77"/>
      <c r="E43" s="78"/>
      <c r="F43" s="77"/>
      <c r="G43" s="78"/>
      <c r="H43" s="77"/>
      <c r="I43" s="78"/>
      <c r="J43" s="77"/>
      <c r="K43" s="78"/>
      <c r="L43" s="77"/>
      <c r="M43" s="78"/>
      <c r="N43" s="77"/>
      <c r="O43" s="78"/>
      <c r="P43" s="77"/>
      <c r="Q43" s="78"/>
      <c r="R43" s="77"/>
      <c r="S43" s="78"/>
      <c r="T43" s="77"/>
      <c r="U43" s="78"/>
      <c r="V43" s="77"/>
      <c r="W43" s="78"/>
      <c r="X43" s="77"/>
      <c r="Y43" s="78"/>
      <c r="Z43" s="77"/>
      <c r="AA43" s="78"/>
      <c r="AE43" s="1"/>
      <c r="AF43" s="1"/>
      <c r="AG43" s="1"/>
      <c r="AH43" s="1"/>
      <c r="AI43" s="1"/>
      <c r="AJ43" s="1"/>
      <c r="AK43" s="1"/>
      <c r="AL43" s="1"/>
    </row>
    <row r="44" spans="1:38">
      <c r="A44" s="12" t="s">
        <v>164</v>
      </c>
      <c r="B44" s="47">
        <v>4.1500000000000004</v>
      </c>
      <c r="C44" s="4">
        <f t="shared" si="0"/>
        <v>9.9600000000000009</v>
      </c>
      <c r="D44" s="90">
        <v>4.1500000000000004</v>
      </c>
      <c r="E44" s="91">
        <v>1</v>
      </c>
      <c r="F44" s="77"/>
      <c r="G44" s="78"/>
      <c r="H44" s="77"/>
      <c r="I44" s="78"/>
      <c r="J44" s="77"/>
      <c r="K44" s="78"/>
      <c r="L44" s="77"/>
      <c r="M44" s="78"/>
      <c r="N44" s="77"/>
      <c r="O44" s="78"/>
      <c r="P44" s="77"/>
      <c r="Q44" s="78"/>
      <c r="R44" s="77"/>
      <c r="S44" s="78"/>
      <c r="T44" s="77"/>
      <c r="U44" s="78"/>
      <c r="V44" s="77"/>
      <c r="W44" s="78"/>
      <c r="X44" s="77"/>
      <c r="Y44" s="78"/>
      <c r="Z44" s="77"/>
      <c r="AA44" s="78"/>
      <c r="AE44" s="1"/>
      <c r="AF44" s="1"/>
      <c r="AG44" s="1"/>
      <c r="AH44" s="1"/>
      <c r="AI44" s="1"/>
      <c r="AJ44" s="1"/>
      <c r="AK44" s="1"/>
      <c r="AL44" s="1"/>
    </row>
    <row r="45" spans="1:38">
      <c r="A45" s="12" t="s">
        <v>165</v>
      </c>
      <c r="B45" s="47">
        <v>12.4</v>
      </c>
      <c r="C45" s="4">
        <f t="shared" si="0"/>
        <v>31.709999999999997</v>
      </c>
      <c r="D45" s="90">
        <v>7.1</v>
      </c>
      <c r="E45" s="91">
        <v>1</v>
      </c>
      <c r="F45" s="90">
        <v>3.35</v>
      </c>
      <c r="G45" s="91">
        <v>1</v>
      </c>
      <c r="H45" s="77"/>
      <c r="I45" s="78"/>
      <c r="J45" s="77"/>
      <c r="K45" s="78"/>
      <c r="L45" s="77"/>
      <c r="M45" s="78"/>
      <c r="N45" s="77"/>
      <c r="O45" s="78"/>
      <c r="P45" s="77"/>
      <c r="Q45" s="78"/>
      <c r="R45" s="77"/>
      <c r="S45" s="78"/>
      <c r="T45" s="77"/>
      <c r="U45" s="78"/>
      <c r="V45" s="77"/>
      <c r="W45" s="78"/>
      <c r="X45" s="77"/>
      <c r="Y45" s="78"/>
      <c r="Z45" s="77"/>
      <c r="AA45" s="78"/>
      <c r="AE45" s="1"/>
      <c r="AF45" s="1"/>
      <c r="AG45" s="1"/>
      <c r="AH45" s="1"/>
      <c r="AI45" s="1"/>
      <c r="AJ45" s="1"/>
      <c r="AK45" s="1"/>
      <c r="AL45" s="1"/>
    </row>
    <row r="46" spans="1:38">
      <c r="A46" s="12" t="s">
        <v>166</v>
      </c>
      <c r="B46" s="47">
        <v>11.55</v>
      </c>
      <c r="C46" s="4">
        <f t="shared" si="0"/>
        <v>27.720000000000002</v>
      </c>
      <c r="D46" s="90">
        <v>11.55</v>
      </c>
      <c r="E46" s="91">
        <v>1</v>
      </c>
      <c r="F46" s="92"/>
      <c r="G46" s="93"/>
      <c r="H46" s="92"/>
      <c r="I46" s="93"/>
      <c r="J46" s="92"/>
      <c r="K46" s="93"/>
      <c r="L46" s="92"/>
      <c r="M46" s="93"/>
      <c r="N46" s="92"/>
      <c r="O46" s="93"/>
      <c r="P46" s="92"/>
      <c r="Q46" s="93"/>
      <c r="R46" s="92"/>
      <c r="S46" s="93"/>
      <c r="T46" s="92"/>
      <c r="U46" s="93"/>
      <c r="V46" s="92"/>
      <c r="W46" s="93"/>
      <c r="X46" s="92"/>
      <c r="Y46" s="93"/>
      <c r="Z46" s="92"/>
      <c r="AA46" s="93"/>
      <c r="AE46" s="1"/>
      <c r="AF46" s="1"/>
      <c r="AG46" s="1"/>
      <c r="AH46" s="1"/>
      <c r="AI46" s="1"/>
      <c r="AJ46" s="1"/>
      <c r="AK46" s="1"/>
      <c r="AL46" s="1"/>
    </row>
    <row r="47" spans="1:38">
      <c r="A47" s="12" t="s">
        <v>167</v>
      </c>
      <c r="B47" s="47">
        <v>2</v>
      </c>
      <c r="C47" s="4">
        <f>(B47*$A$3)-((D47*E47)+(F47*G47)+(H47*I47)+(J47*K47)+(L47*M47)+(N47*O47)+(P47*Q47)+(R47*S47)+(T47*U47)+(V47*W47)+(X47*Y47)+(Z47*AA47))</f>
        <v>5.1199999999999992</v>
      </c>
      <c r="D47" s="77"/>
      <c r="E47" s="78"/>
      <c r="F47" s="77"/>
      <c r="G47" s="78"/>
      <c r="H47" s="77"/>
      <c r="I47" s="78"/>
      <c r="J47" s="77"/>
      <c r="K47" s="78"/>
      <c r="L47" s="90">
        <v>0.8</v>
      </c>
      <c r="M47" s="91">
        <v>2.1</v>
      </c>
      <c r="N47" s="77"/>
      <c r="O47" s="78"/>
      <c r="P47" s="77"/>
      <c r="Q47" s="78"/>
      <c r="R47" s="77"/>
      <c r="S47" s="78"/>
      <c r="T47" s="77"/>
      <c r="U47" s="78"/>
      <c r="V47" s="77"/>
      <c r="W47" s="78"/>
      <c r="X47" s="77"/>
      <c r="Y47" s="78"/>
      <c r="Z47" s="77"/>
      <c r="AA47" s="78"/>
    </row>
    <row r="48" spans="1:38" ht="15.75" thickBot="1">
      <c r="A48" s="25" t="s">
        <v>168</v>
      </c>
      <c r="B48" s="20">
        <v>2.2000000000000002</v>
      </c>
      <c r="C48" s="21">
        <f>(B48*$A$3)-((D48*E48)+(F48*G48)+(H48*I48)+(J48*K48)+(L48*M48)+(N48*O48)+(P48*Q48)+(R48*S48)+(T48*U48)+(V48*W48)+(X48*Y48)+(Z48*AA48))</f>
        <v>3.0700000000000003</v>
      </c>
      <c r="D48" s="94"/>
      <c r="E48" s="95"/>
      <c r="F48" s="94"/>
      <c r="G48" s="95"/>
      <c r="H48" s="94"/>
      <c r="I48" s="95"/>
      <c r="J48" s="94"/>
      <c r="K48" s="95"/>
      <c r="L48" s="96">
        <v>2.1</v>
      </c>
      <c r="M48" s="97">
        <v>2.1</v>
      </c>
      <c r="N48" s="94"/>
      <c r="O48" s="95"/>
      <c r="P48" s="94"/>
      <c r="Q48" s="95"/>
      <c r="R48" s="94"/>
      <c r="S48" s="95"/>
      <c r="T48" s="94"/>
      <c r="U48" s="95"/>
      <c r="V48" s="94"/>
      <c r="W48" s="95"/>
      <c r="X48" s="94"/>
      <c r="Y48" s="95"/>
      <c r="Z48" s="94"/>
      <c r="AA48" s="95"/>
    </row>
    <row r="49" spans="1:38">
      <c r="A49" s="26" t="s">
        <v>56</v>
      </c>
      <c r="B49" s="23">
        <v>29.57</v>
      </c>
      <c r="C49" s="24">
        <f t="shared" si="0"/>
        <v>90.537999999999997</v>
      </c>
      <c r="D49" s="98">
        <v>2</v>
      </c>
      <c r="E49" s="99">
        <v>1</v>
      </c>
      <c r="F49" s="98">
        <v>2</v>
      </c>
      <c r="G49" s="99">
        <v>1</v>
      </c>
      <c r="H49" s="98">
        <v>2</v>
      </c>
      <c r="I49" s="99">
        <v>1</v>
      </c>
      <c r="J49" s="98">
        <v>2</v>
      </c>
      <c r="K49" s="99">
        <v>1</v>
      </c>
      <c r="L49" s="98">
        <v>2</v>
      </c>
      <c r="M49" s="99">
        <v>1</v>
      </c>
      <c r="N49" s="100"/>
      <c r="O49" s="101"/>
      <c r="P49" s="100"/>
      <c r="Q49" s="101"/>
      <c r="R49" s="100"/>
      <c r="S49" s="101"/>
      <c r="T49" s="100"/>
      <c r="U49" s="101"/>
      <c r="V49" s="100"/>
      <c r="W49" s="101"/>
      <c r="X49" s="100"/>
      <c r="Y49" s="101"/>
      <c r="Z49" s="100"/>
      <c r="AA49" s="101"/>
      <c r="AE49" s="1"/>
      <c r="AF49" s="1"/>
      <c r="AG49" s="1"/>
      <c r="AH49" s="1"/>
      <c r="AI49" s="1"/>
      <c r="AJ49" s="1"/>
      <c r="AK49" s="1"/>
      <c r="AL49" s="1"/>
    </row>
    <row r="50" spans="1:38">
      <c r="A50" s="67" t="s">
        <v>57</v>
      </c>
      <c r="B50" s="6">
        <v>2.15</v>
      </c>
      <c r="C50" s="4">
        <f t="shared" ref="C50:C55" si="2">(B50*$A$3)-((D50*E50)+(F50*G50)+(H50*I50)+(J50*K50)+(L50*M50)+(N50*O50)+(P50*Q50)+(R50*S50)+(T50*U50)+(V50*W50)+(X50*Y50)+(Z50*AA50))</f>
        <v>7.31</v>
      </c>
      <c r="D50" s="77"/>
      <c r="E50" s="78"/>
      <c r="F50" s="77"/>
      <c r="G50" s="78"/>
      <c r="H50" s="77"/>
      <c r="I50" s="78"/>
      <c r="J50" s="77"/>
      <c r="K50" s="78"/>
      <c r="L50" s="77"/>
      <c r="M50" s="78"/>
      <c r="N50" s="77"/>
      <c r="O50" s="78"/>
      <c r="P50" s="77"/>
      <c r="Q50" s="78"/>
      <c r="R50" s="77"/>
      <c r="S50" s="78"/>
      <c r="T50" s="77"/>
      <c r="U50" s="78"/>
      <c r="V50" s="77"/>
      <c r="W50" s="78"/>
      <c r="X50" s="77"/>
      <c r="Y50" s="78"/>
      <c r="Z50" s="77"/>
      <c r="AA50" s="78"/>
    </row>
    <row r="51" spans="1:38">
      <c r="A51" s="67" t="s">
        <v>58</v>
      </c>
      <c r="B51" s="6">
        <v>12.7</v>
      </c>
      <c r="C51" s="4">
        <f t="shared" si="2"/>
        <v>43.18</v>
      </c>
      <c r="D51" s="77"/>
      <c r="E51" s="78"/>
      <c r="F51" s="77"/>
      <c r="G51" s="78"/>
      <c r="H51" s="77"/>
      <c r="I51" s="78"/>
      <c r="J51" s="77"/>
      <c r="K51" s="78"/>
      <c r="L51" s="77"/>
      <c r="M51" s="78"/>
      <c r="N51" s="77"/>
      <c r="O51" s="78"/>
      <c r="P51" s="77"/>
      <c r="Q51" s="78"/>
      <c r="R51" s="77"/>
      <c r="S51" s="78"/>
      <c r="T51" s="77"/>
      <c r="U51" s="78"/>
      <c r="V51" s="77"/>
      <c r="W51" s="78"/>
      <c r="X51" s="77"/>
      <c r="Y51" s="78"/>
      <c r="Z51" s="77"/>
      <c r="AA51" s="78"/>
    </row>
    <row r="52" spans="1:38">
      <c r="A52" s="67" t="s">
        <v>59</v>
      </c>
      <c r="B52" s="6">
        <v>3.3</v>
      </c>
      <c r="C52" s="4">
        <f t="shared" si="2"/>
        <v>11.219999999999999</v>
      </c>
      <c r="D52" s="77"/>
      <c r="E52" s="78"/>
      <c r="F52" s="77"/>
      <c r="G52" s="78"/>
      <c r="H52" s="77"/>
      <c r="I52" s="78"/>
      <c r="J52" s="77"/>
      <c r="K52" s="78"/>
      <c r="L52" s="77"/>
      <c r="M52" s="78"/>
      <c r="N52" s="77"/>
      <c r="O52" s="78"/>
      <c r="P52" s="77"/>
      <c r="Q52" s="78"/>
      <c r="R52" s="77"/>
      <c r="S52" s="78"/>
      <c r="T52" s="77"/>
      <c r="U52" s="78"/>
      <c r="V52" s="77"/>
      <c r="W52" s="78"/>
      <c r="X52" s="77"/>
      <c r="Y52" s="78"/>
      <c r="Z52" s="77"/>
      <c r="AA52" s="78"/>
    </row>
    <row r="53" spans="1:38">
      <c r="A53" s="67" t="s">
        <v>60</v>
      </c>
      <c r="B53" s="6">
        <v>5.32</v>
      </c>
      <c r="C53" s="4">
        <f t="shared" si="2"/>
        <v>18.088000000000001</v>
      </c>
      <c r="D53" s="77"/>
      <c r="E53" s="78"/>
      <c r="F53" s="77"/>
      <c r="G53" s="78"/>
      <c r="H53" s="77"/>
      <c r="I53" s="78"/>
      <c r="J53" s="77"/>
      <c r="K53" s="78"/>
      <c r="L53" s="77"/>
      <c r="M53" s="78"/>
      <c r="N53" s="77"/>
      <c r="O53" s="78"/>
      <c r="P53" s="77"/>
      <c r="Q53" s="78"/>
      <c r="R53" s="77"/>
      <c r="S53" s="78"/>
      <c r="T53" s="77"/>
      <c r="U53" s="78"/>
      <c r="V53" s="77"/>
      <c r="W53" s="78"/>
      <c r="X53" s="77"/>
      <c r="Y53" s="78"/>
      <c r="Z53" s="77"/>
      <c r="AA53" s="78"/>
    </row>
    <row r="54" spans="1:38">
      <c r="A54" s="67" t="s">
        <v>61</v>
      </c>
      <c r="B54" s="6">
        <v>8.77</v>
      </c>
      <c r="C54" s="4">
        <f t="shared" si="2"/>
        <v>24.777999999999999</v>
      </c>
      <c r="D54" s="77"/>
      <c r="E54" s="78"/>
      <c r="F54" s="77"/>
      <c r="G54" s="78"/>
      <c r="H54" s="77"/>
      <c r="I54" s="78"/>
      <c r="J54" s="77"/>
      <c r="K54" s="78"/>
      <c r="L54" s="75">
        <v>0.8</v>
      </c>
      <c r="M54" s="76">
        <v>2.1</v>
      </c>
      <c r="N54" s="75">
        <v>0.8</v>
      </c>
      <c r="O54" s="76">
        <v>2.1</v>
      </c>
      <c r="P54" s="75">
        <v>0.8</v>
      </c>
      <c r="Q54" s="76">
        <v>2.1</v>
      </c>
      <c r="R54" s="77"/>
      <c r="S54" s="78"/>
      <c r="T54" s="77"/>
      <c r="U54" s="78"/>
      <c r="V54" s="77"/>
      <c r="W54" s="78"/>
      <c r="X54" s="77"/>
      <c r="Y54" s="78"/>
      <c r="Z54" s="77"/>
      <c r="AA54" s="78"/>
    </row>
    <row r="55" spans="1:38">
      <c r="A55" s="67" t="s">
        <v>62</v>
      </c>
      <c r="B55" s="6">
        <v>12.7</v>
      </c>
      <c r="C55" s="4">
        <f t="shared" si="2"/>
        <v>43.18</v>
      </c>
      <c r="D55" s="77"/>
      <c r="E55" s="78"/>
      <c r="F55" s="77"/>
      <c r="G55" s="78"/>
      <c r="H55" s="77"/>
      <c r="I55" s="78"/>
      <c r="J55" s="77"/>
      <c r="K55" s="78"/>
      <c r="L55" s="77"/>
      <c r="M55" s="78"/>
      <c r="N55" s="77"/>
      <c r="O55" s="78"/>
      <c r="P55" s="77"/>
      <c r="Q55" s="78"/>
      <c r="R55" s="77"/>
      <c r="S55" s="78"/>
      <c r="T55" s="77"/>
      <c r="U55" s="78"/>
      <c r="V55" s="77"/>
      <c r="W55" s="78"/>
      <c r="X55" s="77"/>
      <c r="Y55" s="78"/>
      <c r="Z55" s="77"/>
      <c r="AA55" s="78"/>
    </row>
    <row r="56" spans="1:38">
      <c r="A56" s="67" t="s">
        <v>63</v>
      </c>
      <c r="B56" s="6">
        <v>5.6</v>
      </c>
      <c r="C56" s="4">
        <f t="shared" si="0"/>
        <v>19.04</v>
      </c>
      <c r="D56" s="77"/>
      <c r="E56" s="78"/>
      <c r="F56" s="77"/>
      <c r="G56" s="78"/>
      <c r="H56" s="77"/>
      <c r="I56" s="78"/>
      <c r="J56" s="77"/>
      <c r="K56" s="78"/>
      <c r="L56" s="77"/>
      <c r="M56" s="78"/>
      <c r="N56" s="77"/>
      <c r="O56" s="78"/>
      <c r="P56" s="77"/>
      <c r="Q56" s="78"/>
      <c r="R56" s="77"/>
      <c r="S56" s="78"/>
      <c r="T56" s="77"/>
      <c r="U56" s="78"/>
      <c r="V56" s="77"/>
      <c r="W56" s="78"/>
      <c r="X56" s="77"/>
      <c r="Y56" s="78"/>
      <c r="Z56" s="77"/>
      <c r="AA56" s="78"/>
    </row>
    <row r="57" spans="1:38">
      <c r="A57" s="67" t="s">
        <v>64</v>
      </c>
      <c r="B57" s="6">
        <v>8.77</v>
      </c>
      <c r="C57" s="4">
        <f>(B57*$A$3)-((D57*E57)+(F57*G57)+(H57*I57)+(J57*K57)+(L57*M57)+(N57*O57)+(P57*Q57)+(R57*S57)+(T57*U57)+(V57*W57)+(X57*Y57)+(Z57*AA57))</f>
        <v>24.357999999999997</v>
      </c>
      <c r="D57" s="77"/>
      <c r="E57" s="78"/>
      <c r="F57" s="77"/>
      <c r="G57" s="78"/>
      <c r="H57" s="77"/>
      <c r="I57" s="78"/>
      <c r="J57" s="77"/>
      <c r="K57" s="78"/>
      <c r="L57" s="75">
        <v>0.9</v>
      </c>
      <c r="M57" s="76">
        <v>2.1</v>
      </c>
      <c r="N57" s="75">
        <v>0.9</v>
      </c>
      <c r="O57" s="76">
        <v>2.1</v>
      </c>
      <c r="P57" s="75">
        <v>0.8</v>
      </c>
      <c r="Q57" s="76">
        <v>2.1</v>
      </c>
      <c r="R57" s="77"/>
      <c r="S57" s="78"/>
      <c r="T57" s="77"/>
      <c r="U57" s="78"/>
      <c r="V57" s="77"/>
      <c r="W57" s="78"/>
      <c r="X57" s="77"/>
      <c r="Y57" s="78"/>
      <c r="Z57" s="77"/>
      <c r="AA57" s="78"/>
    </row>
    <row r="58" spans="1:38">
      <c r="A58" s="67" t="s">
        <v>65</v>
      </c>
      <c r="B58" s="6">
        <v>12.7</v>
      </c>
      <c r="C58" s="4">
        <f t="shared" si="0"/>
        <v>43.18</v>
      </c>
      <c r="D58" s="77"/>
      <c r="E58" s="78"/>
      <c r="F58" s="77"/>
      <c r="G58" s="78"/>
      <c r="H58" s="77"/>
      <c r="I58" s="78"/>
      <c r="J58" s="77"/>
      <c r="K58" s="78"/>
      <c r="L58" s="77"/>
      <c r="M58" s="78"/>
      <c r="N58" s="77"/>
      <c r="O58" s="78"/>
      <c r="P58" s="77"/>
      <c r="Q58" s="78"/>
      <c r="R58" s="77"/>
      <c r="S58" s="78"/>
      <c r="T58" s="77"/>
      <c r="U58" s="78"/>
      <c r="V58" s="77"/>
      <c r="W58" s="78"/>
      <c r="X58" s="77"/>
      <c r="Y58" s="78"/>
      <c r="Z58" s="77"/>
      <c r="AA58" s="78"/>
    </row>
    <row r="59" spans="1:38">
      <c r="A59" s="67" t="s">
        <v>66</v>
      </c>
      <c r="B59" s="6">
        <v>7.72</v>
      </c>
      <c r="C59" s="4">
        <f t="shared" ref="C59:C70" si="3">(B59*$A$3)-((D59*E59)+(F59*G59)+(H59*I59)+(J59*K59)+(L59*M59)+(N59*O59)+(P59*Q59)+(R59*S59)+(T59*U59)+(V59*W59)+(X59*Y59)+(Z59*AA59))</f>
        <v>26.247999999999998</v>
      </c>
      <c r="D59" s="77"/>
      <c r="E59" s="78"/>
      <c r="F59" s="77"/>
      <c r="G59" s="78"/>
      <c r="H59" s="77"/>
      <c r="I59" s="78"/>
      <c r="J59" s="77"/>
      <c r="K59" s="78"/>
      <c r="L59" s="77"/>
      <c r="M59" s="78"/>
      <c r="N59" s="77"/>
      <c r="O59" s="78"/>
      <c r="P59" s="77"/>
      <c r="Q59" s="78"/>
      <c r="R59" s="77"/>
      <c r="S59" s="78"/>
      <c r="T59" s="77"/>
      <c r="U59" s="78"/>
      <c r="V59" s="77"/>
      <c r="W59" s="78"/>
      <c r="X59" s="77"/>
      <c r="Y59" s="78"/>
      <c r="Z59" s="77"/>
      <c r="AA59" s="78"/>
    </row>
    <row r="60" spans="1:38">
      <c r="A60" s="67" t="s">
        <v>67</v>
      </c>
      <c r="B60" s="6">
        <v>4.45</v>
      </c>
      <c r="C60" s="4">
        <f t="shared" si="3"/>
        <v>15.13</v>
      </c>
      <c r="D60" s="77"/>
      <c r="E60" s="78"/>
      <c r="F60" s="77"/>
      <c r="G60" s="78"/>
      <c r="H60" s="77"/>
      <c r="I60" s="78"/>
      <c r="J60" s="77"/>
      <c r="K60" s="78"/>
      <c r="L60" s="77"/>
      <c r="M60" s="78"/>
      <c r="N60" s="77"/>
      <c r="O60" s="78"/>
      <c r="P60" s="77"/>
      <c r="Q60" s="78"/>
      <c r="R60" s="77"/>
      <c r="S60" s="78"/>
      <c r="T60" s="77"/>
      <c r="U60" s="78"/>
      <c r="V60" s="77"/>
      <c r="W60" s="78"/>
      <c r="X60" s="77"/>
      <c r="Y60" s="78"/>
      <c r="Z60" s="77"/>
      <c r="AA60" s="78"/>
    </row>
    <row r="61" spans="1:38">
      <c r="A61" s="67" t="s">
        <v>68</v>
      </c>
      <c r="B61" s="6">
        <v>6.65</v>
      </c>
      <c r="C61" s="4">
        <f t="shared" si="3"/>
        <v>22.61</v>
      </c>
      <c r="D61" s="77"/>
      <c r="E61" s="78"/>
      <c r="F61" s="77"/>
      <c r="G61" s="78"/>
      <c r="H61" s="77"/>
      <c r="I61" s="78"/>
      <c r="J61" s="77"/>
      <c r="K61" s="78"/>
      <c r="L61" s="77"/>
      <c r="M61" s="78"/>
      <c r="N61" s="77"/>
      <c r="O61" s="78"/>
      <c r="P61" s="77"/>
      <c r="Q61" s="78"/>
      <c r="R61" s="77"/>
      <c r="S61" s="78"/>
      <c r="T61" s="77"/>
      <c r="U61" s="78"/>
      <c r="V61" s="77"/>
      <c r="W61" s="78"/>
      <c r="X61" s="77"/>
      <c r="Y61" s="78"/>
      <c r="Z61" s="77"/>
      <c r="AA61" s="78"/>
    </row>
    <row r="62" spans="1:38">
      <c r="A62" s="67" t="s">
        <v>69</v>
      </c>
      <c r="B62" s="6">
        <v>4.0199999999999996</v>
      </c>
      <c r="C62" s="4">
        <f t="shared" si="3"/>
        <v>7.4519999999999973</v>
      </c>
      <c r="D62" s="77"/>
      <c r="E62" s="78"/>
      <c r="F62" s="77"/>
      <c r="G62" s="78"/>
      <c r="H62" s="77"/>
      <c r="I62" s="78"/>
      <c r="J62" s="77"/>
      <c r="K62" s="78"/>
      <c r="L62" s="75">
        <v>1.48</v>
      </c>
      <c r="M62" s="76">
        <v>2.1</v>
      </c>
      <c r="N62" s="75">
        <v>1.48</v>
      </c>
      <c r="O62" s="76">
        <v>2.1</v>
      </c>
      <c r="P62" s="77"/>
      <c r="Q62" s="78"/>
      <c r="R62" s="77"/>
      <c r="S62" s="78"/>
      <c r="T62" s="77"/>
      <c r="U62" s="78"/>
      <c r="V62" s="77"/>
      <c r="W62" s="78"/>
      <c r="X62" s="77"/>
      <c r="Y62" s="78"/>
      <c r="Z62" s="77"/>
      <c r="AA62" s="78"/>
    </row>
    <row r="63" spans="1:38">
      <c r="A63" s="67" t="s">
        <v>70</v>
      </c>
      <c r="B63" s="6">
        <v>2.95</v>
      </c>
      <c r="C63" s="4">
        <f t="shared" si="3"/>
        <v>10.030000000000001</v>
      </c>
      <c r="D63" s="77"/>
      <c r="E63" s="78"/>
      <c r="F63" s="77"/>
      <c r="G63" s="78"/>
      <c r="H63" s="77"/>
      <c r="I63" s="78"/>
      <c r="J63" s="77"/>
      <c r="K63" s="78"/>
      <c r="L63" s="77"/>
      <c r="M63" s="78"/>
      <c r="N63" s="77"/>
      <c r="O63" s="78"/>
      <c r="P63" s="77"/>
      <c r="Q63" s="78"/>
      <c r="R63" s="77"/>
      <c r="S63" s="78"/>
      <c r="T63" s="77"/>
      <c r="U63" s="78"/>
      <c r="V63" s="77"/>
      <c r="W63" s="78"/>
      <c r="X63" s="77"/>
      <c r="Y63" s="78"/>
      <c r="Z63" s="77"/>
      <c r="AA63" s="78"/>
    </row>
    <row r="64" spans="1:38">
      <c r="A64" s="67" t="s">
        <v>71</v>
      </c>
      <c r="B64" s="6">
        <v>1.95</v>
      </c>
      <c r="C64" s="4">
        <f t="shared" si="3"/>
        <v>6.63</v>
      </c>
      <c r="D64" s="77"/>
      <c r="E64" s="78"/>
      <c r="F64" s="77"/>
      <c r="G64" s="78"/>
      <c r="H64" s="77"/>
      <c r="I64" s="78"/>
      <c r="J64" s="77"/>
      <c r="K64" s="78"/>
      <c r="L64" s="77"/>
      <c r="M64" s="78"/>
      <c r="N64" s="77"/>
      <c r="O64" s="78"/>
      <c r="P64" s="77"/>
      <c r="Q64" s="78"/>
      <c r="R64" s="77"/>
      <c r="S64" s="78"/>
      <c r="T64" s="77"/>
      <c r="U64" s="78"/>
      <c r="V64" s="77"/>
      <c r="W64" s="78"/>
      <c r="X64" s="77"/>
      <c r="Y64" s="78"/>
      <c r="Z64" s="77"/>
      <c r="AA64" s="78"/>
    </row>
    <row r="65" spans="1:27">
      <c r="A65" s="67" t="s">
        <v>72</v>
      </c>
      <c r="B65" s="6">
        <v>4.4000000000000004</v>
      </c>
      <c r="C65" s="4">
        <f t="shared" si="3"/>
        <v>10.55</v>
      </c>
      <c r="D65" s="77"/>
      <c r="E65" s="78"/>
      <c r="F65" s="77"/>
      <c r="G65" s="78"/>
      <c r="H65" s="77"/>
      <c r="I65" s="78"/>
      <c r="J65" s="77"/>
      <c r="K65" s="78"/>
      <c r="L65" s="75">
        <v>2.1</v>
      </c>
      <c r="M65" s="76">
        <v>2.1</v>
      </c>
      <c r="N65" s="77"/>
      <c r="O65" s="78"/>
      <c r="P65" s="77"/>
      <c r="Q65" s="78"/>
      <c r="R65" s="77"/>
      <c r="S65" s="78"/>
      <c r="T65" s="77"/>
      <c r="U65" s="78"/>
      <c r="V65" s="77"/>
      <c r="W65" s="78"/>
      <c r="X65" s="77"/>
      <c r="Y65" s="78"/>
      <c r="Z65" s="77"/>
      <c r="AA65" s="78"/>
    </row>
    <row r="66" spans="1:27">
      <c r="A66" s="67" t="s">
        <v>73</v>
      </c>
      <c r="B66" s="6">
        <v>6.65</v>
      </c>
      <c r="C66" s="4">
        <f t="shared" si="3"/>
        <v>20.93</v>
      </c>
      <c r="D66" s="77"/>
      <c r="E66" s="78"/>
      <c r="F66" s="77"/>
      <c r="G66" s="78"/>
      <c r="H66" s="77"/>
      <c r="I66" s="78"/>
      <c r="J66" s="77"/>
      <c r="K66" s="78"/>
      <c r="L66" s="75">
        <v>0.8</v>
      </c>
      <c r="M66" s="76">
        <v>2.1</v>
      </c>
      <c r="N66" s="77"/>
      <c r="O66" s="78"/>
      <c r="P66" s="77"/>
      <c r="Q66" s="78"/>
      <c r="R66" s="77"/>
      <c r="S66" s="78"/>
      <c r="T66" s="77"/>
      <c r="U66" s="78"/>
      <c r="V66" s="77"/>
      <c r="W66" s="78"/>
      <c r="X66" s="77"/>
      <c r="Y66" s="78"/>
      <c r="Z66" s="77"/>
      <c r="AA66" s="78"/>
    </row>
    <row r="67" spans="1:27">
      <c r="A67" s="67" t="s">
        <v>74</v>
      </c>
      <c r="B67" s="6">
        <v>4.45</v>
      </c>
      <c r="C67" s="4">
        <f t="shared" si="3"/>
        <v>12.82</v>
      </c>
      <c r="D67" s="77"/>
      <c r="E67" s="78"/>
      <c r="F67" s="77"/>
      <c r="G67" s="78"/>
      <c r="H67" s="77"/>
      <c r="I67" s="78"/>
      <c r="J67" s="77"/>
      <c r="K67" s="78"/>
      <c r="L67" s="75">
        <v>1.1000000000000001</v>
      </c>
      <c r="M67" s="76">
        <v>2.1</v>
      </c>
      <c r="N67" s="77"/>
      <c r="O67" s="78"/>
      <c r="P67" s="77"/>
      <c r="Q67" s="78"/>
      <c r="R67" s="77"/>
      <c r="S67" s="78"/>
      <c r="T67" s="77"/>
      <c r="U67" s="78"/>
      <c r="V67" s="77"/>
      <c r="W67" s="78"/>
      <c r="X67" s="77"/>
      <c r="Y67" s="78"/>
      <c r="Z67" s="77"/>
      <c r="AA67" s="78"/>
    </row>
    <row r="68" spans="1:27">
      <c r="A68" s="67" t="s">
        <v>75</v>
      </c>
      <c r="B68" s="6">
        <v>2.2000000000000002</v>
      </c>
      <c r="C68" s="4">
        <f t="shared" si="3"/>
        <v>7.48</v>
      </c>
      <c r="D68" s="77"/>
      <c r="E68" s="78"/>
      <c r="F68" s="77"/>
      <c r="G68" s="78"/>
      <c r="H68" s="77"/>
      <c r="I68" s="78"/>
      <c r="J68" s="77"/>
      <c r="K68" s="78"/>
      <c r="L68" s="77"/>
      <c r="M68" s="78"/>
      <c r="N68" s="77"/>
      <c r="O68" s="78"/>
      <c r="P68" s="77"/>
      <c r="Q68" s="78"/>
      <c r="R68" s="77"/>
      <c r="S68" s="78"/>
      <c r="T68" s="77"/>
      <c r="U68" s="78"/>
      <c r="V68" s="77"/>
      <c r="W68" s="78"/>
      <c r="X68" s="77"/>
      <c r="Y68" s="78"/>
      <c r="Z68" s="77"/>
      <c r="AA68" s="78"/>
    </row>
    <row r="69" spans="1:27">
      <c r="A69" s="67" t="s">
        <v>76</v>
      </c>
      <c r="B69" s="6">
        <v>10.82</v>
      </c>
      <c r="C69" s="4">
        <f t="shared" si="3"/>
        <v>33.427999999999997</v>
      </c>
      <c r="D69" s="77"/>
      <c r="E69" s="78"/>
      <c r="F69" s="77"/>
      <c r="G69" s="78"/>
      <c r="H69" s="77"/>
      <c r="I69" s="78"/>
      <c r="J69" s="77"/>
      <c r="K69" s="78"/>
      <c r="L69" s="75">
        <v>0.8</v>
      </c>
      <c r="M69" s="76">
        <v>2.1</v>
      </c>
      <c r="N69" s="75">
        <v>0.8</v>
      </c>
      <c r="O69" s="76">
        <v>2.1</v>
      </c>
      <c r="P69" s="77"/>
      <c r="Q69" s="78"/>
      <c r="R69" s="77"/>
      <c r="S69" s="78"/>
      <c r="T69" s="77"/>
      <c r="U69" s="78"/>
      <c r="V69" s="77"/>
      <c r="W69" s="78"/>
      <c r="X69" s="77"/>
      <c r="Y69" s="78"/>
      <c r="Z69" s="77"/>
      <c r="AA69" s="78"/>
    </row>
    <row r="70" spans="1:27">
      <c r="A70" s="67" t="s">
        <v>77</v>
      </c>
      <c r="B70" s="6">
        <v>9.1999999999999993</v>
      </c>
      <c r="C70" s="4">
        <f t="shared" si="3"/>
        <v>28.97</v>
      </c>
      <c r="D70" s="77"/>
      <c r="E70" s="78"/>
      <c r="F70" s="77"/>
      <c r="G70" s="78"/>
      <c r="H70" s="77"/>
      <c r="I70" s="78"/>
      <c r="J70" s="77"/>
      <c r="K70" s="78"/>
      <c r="L70" s="75">
        <v>1.1000000000000001</v>
      </c>
      <c r="M70" s="76">
        <v>2.1</v>
      </c>
      <c r="N70" s="77"/>
      <c r="O70" s="78"/>
      <c r="P70" s="77"/>
      <c r="Q70" s="78"/>
      <c r="R70" s="77"/>
      <c r="S70" s="78"/>
      <c r="T70" s="77"/>
      <c r="U70" s="78"/>
      <c r="V70" s="77"/>
      <c r="W70" s="78"/>
      <c r="X70" s="77"/>
      <c r="Y70" s="78"/>
      <c r="Z70" s="77"/>
      <c r="AA70" s="78"/>
    </row>
    <row r="71" spans="1:27">
      <c r="A71" s="67" t="s">
        <v>78</v>
      </c>
      <c r="B71" s="6">
        <v>1.75</v>
      </c>
      <c r="C71" s="4">
        <f t="shared" si="0"/>
        <v>5.95</v>
      </c>
      <c r="D71" s="77"/>
      <c r="E71" s="78"/>
      <c r="F71" s="77"/>
      <c r="G71" s="78"/>
      <c r="H71" s="77"/>
      <c r="I71" s="78"/>
      <c r="J71" s="77"/>
      <c r="K71" s="78"/>
      <c r="L71" s="77"/>
      <c r="M71" s="78"/>
      <c r="N71" s="77"/>
      <c r="O71" s="78"/>
      <c r="P71" s="77"/>
      <c r="Q71" s="78"/>
      <c r="R71" s="77"/>
      <c r="S71" s="78"/>
      <c r="T71" s="77"/>
      <c r="U71" s="78"/>
      <c r="V71" s="77"/>
      <c r="W71" s="78"/>
      <c r="X71" s="77"/>
      <c r="Y71" s="78"/>
      <c r="Z71" s="77"/>
      <c r="AA71" s="78"/>
    </row>
    <row r="72" spans="1:27">
      <c r="A72" s="67" t="s">
        <v>79</v>
      </c>
      <c r="B72" s="6">
        <v>3.1</v>
      </c>
      <c r="C72" s="4">
        <f>(B72*$A$3)-((D72*E72)+(F72*G72)+(H72*I72)+(J72*K72)+(L72*M72)+(N72*O72)+(P72*Q72)+(R72*S72)+(T72*U72)+(V72*W72)+(X72*Y72)+(Z72*AA72))</f>
        <v>10.54</v>
      </c>
      <c r="D72" s="77"/>
      <c r="E72" s="78"/>
      <c r="F72" s="77"/>
      <c r="G72" s="78"/>
      <c r="H72" s="77"/>
      <c r="I72" s="78"/>
      <c r="J72" s="77"/>
      <c r="K72" s="78"/>
      <c r="L72" s="77"/>
      <c r="M72" s="78"/>
      <c r="N72" s="77"/>
      <c r="O72" s="78"/>
      <c r="P72" s="77"/>
      <c r="Q72" s="78"/>
      <c r="R72" s="77"/>
      <c r="S72" s="78"/>
      <c r="T72" s="77"/>
      <c r="U72" s="78"/>
      <c r="V72" s="77"/>
      <c r="W72" s="78"/>
      <c r="X72" s="77"/>
      <c r="Y72" s="78"/>
      <c r="Z72" s="77"/>
      <c r="AA72" s="78"/>
    </row>
    <row r="73" spans="1:27">
      <c r="A73" s="67" t="s">
        <v>80</v>
      </c>
      <c r="B73" s="6">
        <f>1.6+4.42</f>
        <v>6.02</v>
      </c>
      <c r="C73" s="4">
        <f>(B73*$A$3)-((D73*E73)+(F73*G73)+(H73*I73)+(J73*K73)+(L73*M73)+(N73*O73)+(P73*Q73)+(R73*S73)+(T73*U73)+(V73*W73)+(X73*Y73)+(Z73*AA73))</f>
        <v>20.467999999999996</v>
      </c>
      <c r="D73" s="77"/>
      <c r="E73" s="78"/>
      <c r="F73" s="77"/>
      <c r="G73" s="78"/>
      <c r="H73" s="77"/>
      <c r="I73" s="78"/>
      <c r="J73" s="77"/>
      <c r="K73" s="78"/>
      <c r="L73" s="77"/>
      <c r="M73" s="78"/>
      <c r="N73" s="77"/>
      <c r="O73" s="78"/>
      <c r="P73" s="77"/>
      <c r="Q73" s="78"/>
      <c r="R73" s="77"/>
      <c r="S73" s="78"/>
      <c r="T73" s="77"/>
      <c r="U73" s="78"/>
      <c r="V73" s="77"/>
      <c r="W73" s="78"/>
      <c r="X73" s="77"/>
      <c r="Y73" s="78"/>
      <c r="Z73" s="77"/>
      <c r="AA73" s="78"/>
    </row>
    <row r="74" spans="1:27">
      <c r="A74" s="67" t="s">
        <v>81</v>
      </c>
      <c r="B74" s="6">
        <v>5.95</v>
      </c>
      <c r="C74" s="4">
        <f>(B74*$A$3)-((D74*E74)+(F74*G74)+(H74*I74)+(J74*K74)+(L74*M74)+(N74*O74)+(P74*Q74)+(R74*S74)+(T74*U74)+(V74*W74)+(X74*Y74)+(Z74*AA74))</f>
        <v>15.82</v>
      </c>
      <c r="D74" s="77"/>
      <c r="E74" s="78"/>
      <c r="F74" s="77"/>
      <c r="G74" s="78"/>
      <c r="H74" s="77"/>
      <c r="I74" s="78"/>
      <c r="J74" s="77"/>
      <c r="K74" s="78"/>
      <c r="L74" s="75">
        <v>2.1</v>
      </c>
      <c r="M74" s="76">
        <v>2.1</v>
      </c>
      <c r="N74" s="77"/>
      <c r="O74" s="78"/>
      <c r="P74" s="77"/>
      <c r="Q74" s="78"/>
      <c r="R74" s="77"/>
      <c r="S74" s="78"/>
      <c r="T74" s="77"/>
      <c r="U74" s="78"/>
      <c r="V74" s="77"/>
      <c r="W74" s="78"/>
      <c r="X74" s="77"/>
      <c r="Y74" s="78"/>
      <c r="Z74" s="77"/>
      <c r="AA74" s="78"/>
    </row>
    <row r="75" spans="1:27">
      <c r="A75" s="67" t="s">
        <v>82</v>
      </c>
      <c r="B75" s="6">
        <v>6.17</v>
      </c>
      <c r="C75" s="4">
        <f>(B75*$A$3)-((D75*E75)+(F75*G75)+(H75*I75)+(J75*K75)+(L75*M75)+(N75*O75)+(P75*Q75)+(R75*S75)+(T75*U75)+(V75*W75)+(X75*Y75)+(Z75*AA75))</f>
        <v>19.087999999999997</v>
      </c>
      <c r="D75" s="77"/>
      <c r="E75" s="78"/>
      <c r="F75" s="77"/>
      <c r="G75" s="78"/>
      <c r="H75" s="77"/>
      <c r="I75" s="78"/>
      <c r="J75" s="77"/>
      <c r="K75" s="78"/>
      <c r="L75" s="75">
        <v>0.9</v>
      </c>
      <c r="M75" s="76">
        <v>2.1</v>
      </c>
      <c r="N75" s="77"/>
      <c r="O75" s="78"/>
      <c r="P75" s="77"/>
      <c r="Q75" s="78"/>
      <c r="R75" s="77"/>
      <c r="S75" s="78"/>
      <c r="T75" s="77"/>
      <c r="U75" s="78"/>
      <c r="V75" s="77"/>
      <c r="W75" s="78"/>
      <c r="X75" s="77"/>
      <c r="Y75" s="78"/>
      <c r="Z75" s="77"/>
      <c r="AA75" s="78"/>
    </row>
    <row r="76" spans="1:27">
      <c r="A76" s="67" t="s">
        <v>169</v>
      </c>
      <c r="B76" s="6">
        <v>3.5</v>
      </c>
      <c r="C76" s="4">
        <f t="shared" si="0"/>
        <v>11.9</v>
      </c>
      <c r="D76" s="77"/>
      <c r="E76" s="78"/>
      <c r="F76" s="77"/>
      <c r="G76" s="78"/>
      <c r="H76" s="77"/>
      <c r="I76" s="78"/>
      <c r="J76" s="77"/>
      <c r="K76" s="78"/>
      <c r="L76" s="77"/>
      <c r="M76" s="78"/>
      <c r="N76" s="77"/>
      <c r="O76" s="78"/>
      <c r="P76" s="77"/>
      <c r="Q76" s="78"/>
      <c r="R76" s="77"/>
      <c r="S76" s="78"/>
      <c r="T76" s="77"/>
      <c r="U76" s="78"/>
      <c r="V76" s="77"/>
      <c r="W76" s="78"/>
      <c r="X76" s="77"/>
      <c r="Y76" s="78"/>
      <c r="Z76" s="77"/>
      <c r="AA76" s="78"/>
    </row>
    <row r="77" spans="1:27">
      <c r="A77" s="67" t="s">
        <v>170</v>
      </c>
      <c r="B77" s="6">
        <v>4.9000000000000004</v>
      </c>
      <c r="C77" s="4">
        <f t="shared" ref="C77:C85" si="4">(B77*$A$3)-((D77*E77)+(F77*G77)+(H77*I77)+(J77*K77)+(L77*M77)+(N77*O77)+(P77*Q77)+(R77*S77)+(T77*U77)+(V77*W77)+(X77*Y77)+(Z77*AA77))</f>
        <v>16.66</v>
      </c>
      <c r="D77" s="77"/>
      <c r="E77" s="78"/>
      <c r="F77" s="77"/>
      <c r="G77" s="78"/>
      <c r="H77" s="77"/>
      <c r="I77" s="78"/>
      <c r="J77" s="77"/>
      <c r="K77" s="78"/>
      <c r="L77" s="77"/>
      <c r="M77" s="78"/>
      <c r="N77" s="77"/>
      <c r="O77" s="78"/>
      <c r="P77" s="77"/>
      <c r="Q77" s="78"/>
      <c r="R77" s="77"/>
      <c r="S77" s="78"/>
      <c r="T77" s="77"/>
      <c r="U77" s="78"/>
      <c r="V77" s="77"/>
      <c r="W77" s="78"/>
      <c r="X77" s="77"/>
      <c r="Y77" s="78"/>
      <c r="Z77" s="77"/>
      <c r="AA77" s="78"/>
    </row>
    <row r="78" spans="1:27">
      <c r="A78" s="67" t="s">
        <v>171</v>
      </c>
      <c r="B78" s="6">
        <v>12.7</v>
      </c>
      <c r="C78" s="4">
        <f t="shared" si="4"/>
        <v>43.18</v>
      </c>
      <c r="D78" s="77"/>
      <c r="E78" s="78"/>
      <c r="F78" s="77"/>
      <c r="G78" s="78"/>
      <c r="H78" s="77"/>
      <c r="I78" s="78"/>
      <c r="J78" s="77"/>
      <c r="K78" s="78"/>
      <c r="L78" s="77"/>
      <c r="M78" s="78"/>
      <c r="N78" s="77"/>
      <c r="O78" s="78"/>
      <c r="P78" s="77"/>
      <c r="Q78" s="78"/>
      <c r="R78" s="77"/>
      <c r="S78" s="78"/>
      <c r="T78" s="77"/>
      <c r="U78" s="78"/>
      <c r="V78" s="77"/>
      <c r="W78" s="78"/>
      <c r="X78" s="77"/>
      <c r="Y78" s="78"/>
      <c r="Z78" s="77"/>
      <c r="AA78" s="78"/>
    </row>
    <row r="79" spans="1:27">
      <c r="A79" s="67" t="s">
        <v>172</v>
      </c>
      <c r="B79" s="6">
        <v>4.9000000000000004</v>
      </c>
      <c r="C79" s="4">
        <f t="shared" si="4"/>
        <v>16.66</v>
      </c>
      <c r="D79" s="77"/>
      <c r="E79" s="78"/>
      <c r="F79" s="77"/>
      <c r="G79" s="78"/>
      <c r="H79" s="77"/>
      <c r="I79" s="78"/>
      <c r="J79" s="77"/>
      <c r="K79" s="78"/>
      <c r="L79" s="77"/>
      <c r="M79" s="78"/>
      <c r="N79" s="77"/>
      <c r="O79" s="78"/>
      <c r="P79" s="77"/>
      <c r="Q79" s="78"/>
      <c r="R79" s="77"/>
      <c r="S79" s="78"/>
      <c r="T79" s="77"/>
      <c r="U79" s="78"/>
      <c r="V79" s="77"/>
      <c r="W79" s="78"/>
      <c r="X79" s="77"/>
      <c r="Y79" s="78"/>
      <c r="Z79" s="77"/>
      <c r="AA79" s="78"/>
    </row>
    <row r="80" spans="1:27">
      <c r="A80" s="67" t="s">
        <v>173</v>
      </c>
      <c r="B80" s="6">
        <v>2.35</v>
      </c>
      <c r="C80" s="4">
        <f t="shared" si="4"/>
        <v>7.99</v>
      </c>
      <c r="D80" s="77"/>
      <c r="E80" s="78"/>
      <c r="F80" s="77"/>
      <c r="G80" s="78"/>
      <c r="H80" s="77"/>
      <c r="I80" s="78"/>
      <c r="J80" s="77"/>
      <c r="K80" s="78"/>
      <c r="L80" s="77"/>
      <c r="M80" s="78"/>
      <c r="N80" s="77"/>
      <c r="O80" s="78"/>
      <c r="P80" s="77"/>
      <c r="Q80" s="78"/>
      <c r="R80" s="77"/>
      <c r="S80" s="78"/>
      <c r="T80" s="77"/>
      <c r="U80" s="78"/>
      <c r="V80" s="77"/>
      <c r="W80" s="78"/>
      <c r="X80" s="77"/>
      <c r="Y80" s="78"/>
      <c r="Z80" s="77"/>
      <c r="AA80" s="78"/>
    </row>
    <row r="81" spans="1:27">
      <c r="A81" s="67" t="s">
        <v>174</v>
      </c>
      <c r="B81" s="6">
        <v>2.4</v>
      </c>
      <c r="C81" s="4">
        <f t="shared" si="4"/>
        <v>8.16</v>
      </c>
      <c r="D81" s="77"/>
      <c r="E81" s="78"/>
      <c r="F81" s="77"/>
      <c r="G81" s="78"/>
      <c r="H81" s="77"/>
      <c r="I81" s="78"/>
      <c r="J81" s="77"/>
      <c r="K81" s="78"/>
      <c r="L81" s="77"/>
      <c r="M81" s="78"/>
      <c r="N81" s="77"/>
      <c r="O81" s="78"/>
      <c r="P81" s="77"/>
      <c r="Q81" s="78"/>
      <c r="R81" s="77"/>
      <c r="S81" s="78"/>
      <c r="T81" s="77"/>
      <c r="U81" s="78"/>
      <c r="V81" s="77"/>
      <c r="W81" s="78"/>
      <c r="X81" s="77"/>
      <c r="Y81" s="78"/>
      <c r="Z81" s="77"/>
      <c r="AA81" s="78"/>
    </row>
    <row r="82" spans="1:27">
      <c r="A82" s="67" t="s">
        <v>175</v>
      </c>
      <c r="B82" s="6">
        <v>1.8</v>
      </c>
      <c r="C82" s="4">
        <f t="shared" si="4"/>
        <v>4.2300000000000004</v>
      </c>
      <c r="D82" s="77"/>
      <c r="E82" s="78"/>
      <c r="F82" s="77"/>
      <c r="G82" s="78"/>
      <c r="H82" s="77"/>
      <c r="I82" s="78"/>
      <c r="J82" s="77"/>
      <c r="K82" s="78"/>
      <c r="L82" s="75">
        <v>0.9</v>
      </c>
      <c r="M82" s="76">
        <v>2.1</v>
      </c>
      <c r="N82" s="77"/>
      <c r="O82" s="78"/>
      <c r="P82" s="77"/>
      <c r="Q82" s="78"/>
      <c r="R82" s="77"/>
      <c r="S82" s="78"/>
      <c r="T82" s="77"/>
      <c r="U82" s="78"/>
      <c r="V82" s="77"/>
      <c r="W82" s="78"/>
      <c r="X82" s="77"/>
      <c r="Y82" s="78"/>
      <c r="Z82" s="77"/>
      <c r="AA82" s="78"/>
    </row>
    <row r="83" spans="1:27">
      <c r="A83" s="67" t="s">
        <v>176</v>
      </c>
      <c r="B83" s="6">
        <v>3.82</v>
      </c>
      <c r="C83" s="4">
        <f t="shared" si="4"/>
        <v>12.988</v>
      </c>
      <c r="D83" s="77"/>
      <c r="E83" s="78"/>
      <c r="F83" s="77"/>
      <c r="G83" s="78"/>
      <c r="H83" s="77"/>
      <c r="I83" s="78"/>
      <c r="J83" s="77"/>
      <c r="K83" s="78"/>
      <c r="L83" s="77"/>
      <c r="M83" s="78"/>
      <c r="N83" s="77"/>
      <c r="O83" s="78"/>
      <c r="P83" s="77"/>
      <c r="Q83" s="78"/>
      <c r="R83" s="77"/>
      <c r="S83" s="78"/>
      <c r="T83" s="77"/>
      <c r="U83" s="78"/>
      <c r="V83" s="77"/>
      <c r="W83" s="78"/>
      <c r="X83" s="77"/>
      <c r="Y83" s="78"/>
      <c r="Z83" s="77"/>
      <c r="AA83" s="78"/>
    </row>
    <row r="84" spans="1:27">
      <c r="A84" s="67" t="s">
        <v>177</v>
      </c>
      <c r="B84" s="6">
        <v>2.2000000000000002</v>
      </c>
      <c r="C84" s="4">
        <f t="shared" si="4"/>
        <v>7.48</v>
      </c>
      <c r="D84" s="77"/>
      <c r="E84" s="78"/>
      <c r="F84" s="77"/>
      <c r="G84" s="78"/>
      <c r="H84" s="77"/>
      <c r="I84" s="78"/>
      <c r="J84" s="77"/>
      <c r="K84" s="78"/>
      <c r="L84" s="77"/>
      <c r="M84" s="78"/>
      <c r="N84" s="77"/>
      <c r="O84" s="78"/>
      <c r="P84" s="77"/>
      <c r="Q84" s="78"/>
      <c r="R84" s="77"/>
      <c r="S84" s="78"/>
      <c r="T84" s="77"/>
      <c r="U84" s="78"/>
      <c r="V84" s="77"/>
      <c r="W84" s="78"/>
      <c r="X84" s="77"/>
      <c r="Y84" s="78"/>
      <c r="Z84" s="77"/>
      <c r="AA84" s="78"/>
    </row>
    <row r="85" spans="1:27">
      <c r="A85" s="67" t="s">
        <v>178</v>
      </c>
      <c r="B85" s="6">
        <v>3.42</v>
      </c>
      <c r="C85" s="4">
        <f t="shared" si="4"/>
        <v>11.628</v>
      </c>
      <c r="D85" s="77"/>
      <c r="E85" s="78"/>
      <c r="F85" s="77"/>
      <c r="G85" s="78"/>
      <c r="H85" s="77"/>
      <c r="I85" s="78"/>
      <c r="J85" s="77"/>
      <c r="K85" s="78"/>
      <c r="L85" s="77"/>
      <c r="M85" s="78"/>
      <c r="N85" s="77"/>
      <c r="O85" s="78"/>
      <c r="P85" s="77"/>
      <c r="Q85" s="78"/>
      <c r="R85" s="77"/>
      <c r="S85" s="78"/>
      <c r="T85" s="77"/>
      <c r="U85" s="78"/>
      <c r="V85" s="77"/>
      <c r="W85" s="78"/>
      <c r="X85" s="77"/>
      <c r="Y85" s="78"/>
      <c r="Z85" s="77"/>
      <c r="AA85" s="78"/>
    </row>
    <row r="86" spans="1:27">
      <c r="A86" s="67" t="s">
        <v>179</v>
      </c>
      <c r="B86" s="6">
        <v>1.8</v>
      </c>
      <c r="C86" s="4">
        <f>(B86*$A$3)-((D86*E86)+(F86*G86)+(H86*I86)+(J86*K86)+(L86*M86)+(N86*O86)+(P86*Q86)+(R86*S86)+(T86*U86)+(V86*W86)+(X86*Y86)+(Z86*AA86))</f>
        <v>4.2300000000000004</v>
      </c>
      <c r="D86" s="77"/>
      <c r="E86" s="78"/>
      <c r="F86" s="77"/>
      <c r="G86" s="78"/>
      <c r="H86" s="77"/>
      <c r="I86" s="78"/>
      <c r="J86" s="77"/>
      <c r="K86" s="78"/>
      <c r="L86" s="75">
        <v>0.9</v>
      </c>
      <c r="M86" s="76">
        <v>2.1</v>
      </c>
      <c r="N86" s="77"/>
      <c r="O86" s="78"/>
      <c r="P86" s="77"/>
      <c r="Q86" s="78"/>
      <c r="R86" s="77"/>
      <c r="S86" s="78"/>
      <c r="T86" s="77"/>
      <c r="U86" s="78"/>
      <c r="V86" s="77"/>
      <c r="W86" s="78"/>
      <c r="X86" s="77"/>
      <c r="Y86" s="78"/>
      <c r="Z86" s="77"/>
      <c r="AA86" s="78"/>
    </row>
    <row r="87" spans="1:27">
      <c r="A87" s="67" t="s">
        <v>180</v>
      </c>
      <c r="B87" s="6">
        <v>3.82</v>
      </c>
      <c r="C87" s="4">
        <f>(B87*$A$3)-((D87*E87)+(F87*G87)+(H87*I87)+(J87*K87)+(L87*M87)+(N87*O87)+(P87*Q87)+(R87*S87)+(T87*U87)+(V87*W87)+(X87*Y87)+(Z87*AA87))</f>
        <v>11.308</v>
      </c>
      <c r="D87" s="77"/>
      <c r="E87" s="78"/>
      <c r="F87" s="77"/>
      <c r="G87" s="78"/>
      <c r="H87" s="77"/>
      <c r="I87" s="78"/>
      <c r="J87" s="77"/>
      <c r="K87" s="78"/>
      <c r="L87" s="75">
        <v>0.8</v>
      </c>
      <c r="M87" s="76">
        <v>2.1</v>
      </c>
      <c r="N87" s="77"/>
      <c r="O87" s="78"/>
      <c r="P87" s="77"/>
      <c r="Q87" s="78"/>
      <c r="R87" s="77"/>
      <c r="S87" s="78"/>
      <c r="T87" s="77"/>
      <c r="U87" s="78"/>
      <c r="V87" s="77"/>
      <c r="W87" s="78"/>
      <c r="X87" s="77"/>
      <c r="Y87" s="78"/>
      <c r="Z87" s="77"/>
      <c r="AA87" s="78"/>
    </row>
    <row r="88" spans="1:27">
      <c r="A88" s="67" t="s">
        <v>181</v>
      </c>
      <c r="B88" s="6">
        <v>12.85</v>
      </c>
      <c r="C88" s="4">
        <f t="shared" si="0"/>
        <v>43.69</v>
      </c>
      <c r="D88" s="77"/>
      <c r="E88" s="78"/>
      <c r="F88" s="77"/>
      <c r="G88" s="78"/>
      <c r="H88" s="77"/>
      <c r="I88" s="78"/>
      <c r="J88" s="77"/>
      <c r="K88" s="78"/>
      <c r="L88" s="77"/>
      <c r="M88" s="78"/>
      <c r="N88" s="77"/>
      <c r="O88" s="78"/>
      <c r="P88" s="77"/>
      <c r="Q88" s="78"/>
      <c r="R88" s="77"/>
      <c r="S88" s="78"/>
      <c r="T88" s="77"/>
      <c r="U88" s="78"/>
      <c r="V88" s="77"/>
      <c r="W88" s="78"/>
      <c r="X88" s="77"/>
      <c r="Y88" s="78"/>
      <c r="Z88" s="77"/>
      <c r="AA88" s="78"/>
    </row>
    <row r="89" spans="1:27">
      <c r="A89" s="67" t="s">
        <v>182</v>
      </c>
      <c r="B89" s="6">
        <v>1.8</v>
      </c>
      <c r="C89" s="4">
        <f>(B89*$A$3)-((D89*E89)+(F89*G89)+(H89*I89)+(J89*K89)+(L89*M89)+(N89*O89)+(P89*Q89)+(R89*S89)+(T89*U89)+(V89*W89)+(X89*Y89)+(Z89*AA89))</f>
        <v>6.12</v>
      </c>
      <c r="D89" s="77"/>
      <c r="E89" s="78"/>
      <c r="F89" s="77"/>
      <c r="G89" s="78"/>
      <c r="H89" s="77"/>
      <c r="I89" s="78"/>
      <c r="J89" s="77"/>
      <c r="K89" s="78"/>
      <c r="L89" s="77"/>
      <c r="M89" s="78"/>
      <c r="N89" s="77"/>
      <c r="O89" s="78"/>
      <c r="P89" s="77"/>
      <c r="Q89" s="78"/>
      <c r="R89" s="77"/>
      <c r="S89" s="78"/>
      <c r="T89" s="77"/>
      <c r="U89" s="78"/>
      <c r="V89" s="77"/>
      <c r="W89" s="78"/>
      <c r="X89" s="77"/>
      <c r="Y89" s="78"/>
      <c r="Z89" s="77"/>
      <c r="AA89" s="78"/>
    </row>
    <row r="90" spans="1:27">
      <c r="A90" s="67" t="s">
        <v>183</v>
      </c>
      <c r="B90" s="6">
        <v>2.2000000000000002</v>
      </c>
      <c r="C90" s="4">
        <f>(B90*$A$3)-((D90*E90)+(F90*G90)+(H90*I90)+(J90*K90)+(L90*M90)+(N90*O90)+(P90*Q90)+(R90*S90)+(T90*U90)+(V90*W90)+(X90*Y90)+(Z90*AA90))</f>
        <v>7.48</v>
      </c>
      <c r="D90" s="77"/>
      <c r="E90" s="78"/>
      <c r="F90" s="77"/>
      <c r="G90" s="78"/>
      <c r="H90" s="77"/>
      <c r="I90" s="78"/>
      <c r="J90" s="77"/>
      <c r="K90" s="78"/>
      <c r="L90" s="77"/>
      <c r="M90" s="78"/>
      <c r="N90" s="77"/>
      <c r="O90" s="78"/>
      <c r="P90" s="77"/>
      <c r="Q90" s="78"/>
      <c r="R90" s="77"/>
      <c r="S90" s="78"/>
      <c r="T90" s="77"/>
      <c r="U90" s="78"/>
      <c r="V90" s="77"/>
      <c r="W90" s="78"/>
      <c r="X90" s="77"/>
      <c r="Y90" s="78"/>
      <c r="Z90" s="77"/>
      <c r="AA90" s="78"/>
    </row>
    <row r="91" spans="1:27">
      <c r="A91" s="67" t="s">
        <v>184</v>
      </c>
      <c r="B91" s="6">
        <v>1.45</v>
      </c>
      <c r="C91" s="4">
        <f>(B91*$A$3)-((D91*E91)+(F91*G91)+(H91*I91)+(J91*K91)+(L91*M91)+(N91*O91)+(P91*Q91)+(R91*S91)+(T91*U91)+(V91*W91)+(X91*Y91)+(Z91*AA91))</f>
        <v>4.93</v>
      </c>
      <c r="D91" s="77"/>
      <c r="E91" s="78"/>
      <c r="F91" s="77"/>
      <c r="G91" s="78"/>
      <c r="H91" s="77"/>
      <c r="I91" s="78"/>
      <c r="J91" s="77"/>
      <c r="K91" s="78"/>
      <c r="L91" s="77"/>
      <c r="M91" s="78"/>
      <c r="N91" s="77"/>
      <c r="O91" s="78"/>
      <c r="P91" s="77"/>
      <c r="Q91" s="78"/>
      <c r="R91" s="77"/>
      <c r="S91" s="78"/>
      <c r="T91" s="77"/>
      <c r="U91" s="78"/>
      <c r="V91" s="77"/>
      <c r="W91" s="78"/>
      <c r="X91" s="77"/>
      <c r="Y91" s="78"/>
      <c r="Z91" s="77"/>
      <c r="AA91" s="78"/>
    </row>
    <row r="92" spans="1:27">
      <c r="A92" s="67" t="s">
        <v>185</v>
      </c>
      <c r="B92" s="6">
        <v>1.8</v>
      </c>
      <c r="C92" s="4">
        <f>(B92*$A$3)-((D92*E92)+(F92*G92)+(H92*I92)+(J92*K92)+(L92*M92)+(N92*O92)+(P92*Q92)+(R92*S92)+(T92*U92)+(V92*W92)+(X92*Y92)+(Z92*AA92))</f>
        <v>6.12</v>
      </c>
      <c r="D92" s="77"/>
      <c r="E92" s="78"/>
      <c r="F92" s="77"/>
      <c r="G92" s="78"/>
      <c r="H92" s="77"/>
      <c r="I92" s="78"/>
      <c r="J92" s="77"/>
      <c r="K92" s="78"/>
      <c r="L92" s="77"/>
      <c r="M92" s="78"/>
      <c r="N92" s="77"/>
      <c r="O92" s="78"/>
      <c r="P92" s="77"/>
      <c r="Q92" s="78"/>
      <c r="R92" s="77"/>
      <c r="S92" s="78"/>
      <c r="T92" s="77"/>
      <c r="U92" s="78"/>
      <c r="V92" s="77"/>
      <c r="W92" s="78"/>
      <c r="X92" s="77"/>
      <c r="Y92" s="78"/>
      <c r="Z92" s="77"/>
      <c r="AA92" s="78"/>
    </row>
    <row r="93" spans="1:27">
      <c r="A93" s="67" t="s">
        <v>186</v>
      </c>
      <c r="B93" s="6">
        <v>1.89</v>
      </c>
      <c r="C93" s="4">
        <f>(B93*$A$3)-((D93*E93)+(F93*G93)+(H93*I93)+(J93*K93)+(L93*M93)+(N93*O93)+(P93*Q93)+(R93*S93)+(T93*U93)+(V93*W93)+(X93*Y93)+(Z93*AA93))</f>
        <v>4.7459999999999987</v>
      </c>
      <c r="D93" s="77"/>
      <c r="E93" s="78"/>
      <c r="F93" s="77"/>
      <c r="G93" s="78"/>
      <c r="H93" s="77"/>
      <c r="I93" s="78"/>
      <c r="J93" s="77"/>
      <c r="K93" s="78"/>
      <c r="L93" s="75">
        <v>0.8</v>
      </c>
      <c r="M93" s="76">
        <v>2.1</v>
      </c>
      <c r="N93" s="77"/>
      <c r="O93" s="78"/>
      <c r="P93" s="77"/>
      <c r="Q93" s="78"/>
      <c r="R93" s="77"/>
      <c r="S93" s="78"/>
      <c r="T93" s="77"/>
      <c r="U93" s="78"/>
      <c r="V93" s="77"/>
      <c r="W93" s="78"/>
      <c r="X93" s="77"/>
      <c r="Y93" s="78"/>
      <c r="Z93" s="77"/>
      <c r="AA93" s="78"/>
    </row>
    <row r="94" spans="1:27">
      <c r="A94" s="67" t="s">
        <v>187</v>
      </c>
      <c r="B94" s="6">
        <v>6.93</v>
      </c>
      <c r="C94" s="4">
        <f t="shared" si="0"/>
        <v>23.561999999999998</v>
      </c>
      <c r="D94" s="77"/>
      <c r="E94" s="78"/>
      <c r="F94" s="77"/>
      <c r="G94" s="78"/>
      <c r="H94" s="77"/>
      <c r="I94" s="78"/>
      <c r="J94" s="77"/>
      <c r="K94" s="78"/>
      <c r="L94" s="77"/>
      <c r="M94" s="78"/>
      <c r="N94" s="77"/>
      <c r="O94" s="78"/>
      <c r="P94" s="77"/>
      <c r="Q94" s="78"/>
      <c r="R94" s="77"/>
      <c r="S94" s="78"/>
      <c r="T94" s="77"/>
      <c r="U94" s="78"/>
      <c r="V94" s="77"/>
      <c r="W94" s="78"/>
      <c r="X94" s="77"/>
      <c r="Y94" s="78"/>
      <c r="Z94" s="77"/>
      <c r="AA94" s="78"/>
    </row>
    <row r="95" spans="1:27">
      <c r="A95" s="67" t="s">
        <v>188</v>
      </c>
      <c r="B95" s="6">
        <v>1.7</v>
      </c>
      <c r="C95" s="4">
        <f>(B95*$A$3)-((D95*E95)+(F95*G95)+(H95*I95)+(J95*K95)+(L95*M95)+(N95*O95)+(P95*Q95)+(R95*S95)+(T95*U95)+(V95*W95)+(X95*Y95)+(Z95*AA95))</f>
        <v>5.7799999999999994</v>
      </c>
      <c r="D95" s="77"/>
      <c r="E95" s="78"/>
      <c r="F95" s="77"/>
      <c r="G95" s="78"/>
      <c r="H95" s="77"/>
      <c r="I95" s="78"/>
      <c r="J95" s="77"/>
      <c r="K95" s="78"/>
      <c r="L95" s="77"/>
      <c r="M95" s="78"/>
      <c r="N95" s="77"/>
      <c r="O95" s="78"/>
      <c r="P95" s="77"/>
      <c r="Q95" s="78"/>
      <c r="R95" s="77"/>
      <c r="S95" s="78"/>
      <c r="T95" s="77"/>
      <c r="U95" s="78"/>
      <c r="V95" s="77"/>
      <c r="W95" s="78"/>
      <c r="X95" s="77"/>
      <c r="Y95" s="78"/>
      <c r="Z95" s="77"/>
      <c r="AA95" s="78"/>
    </row>
    <row r="96" spans="1:27">
      <c r="A96" s="67" t="s">
        <v>189</v>
      </c>
      <c r="B96" s="6">
        <f>3.23+3.4</f>
        <v>6.63</v>
      </c>
      <c r="C96" s="4">
        <f>(B96*$A$3)-((D96*E96)+(F96*G96)+(H96*I96)+(J96*K96)+(L96*M96)+(N96*O96)+(P96*Q96)+(R96*S96)+(T96*U96)+(V96*W96)+(X96*Y96)+(Z96*AA96))</f>
        <v>18.971999999999998</v>
      </c>
      <c r="D96" s="75">
        <v>1.05</v>
      </c>
      <c r="E96" s="76">
        <v>1.8</v>
      </c>
      <c r="F96" s="77"/>
      <c r="G96" s="78"/>
      <c r="H96" s="77"/>
      <c r="I96" s="78"/>
      <c r="J96" s="77"/>
      <c r="K96" s="78"/>
      <c r="L96" s="75">
        <v>0.8</v>
      </c>
      <c r="M96" s="76">
        <v>2.1</v>
      </c>
      <c r="N96" s="77"/>
      <c r="O96" s="78"/>
      <c r="P96" s="77"/>
      <c r="Q96" s="78"/>
      <c r="R96" s="77"/>
      <c r="S96" s="78"/>
      <c r="T96" s="77"/>
      <c r="U96" s="78"/>
      <c r="V96" s="77"/>
      <c r="W96" s="78"/>
      <c r="X96" s="77"/>
      <c r="Y96" s="78"/>
      <c r="Z96" s="77"/>
      <c r="AA96" s="78"/>
    </row>
    <row r="97" spans="1:27">
      <c r="A97" s="67" t="s">
        <v>190</v>
      </c>
      <c r="B97" s="6">
        <v>1.44</v>
      </c>
      <c r="C97" s="4">
        <f>(B97*$A$3)-((D97*E97)+(F97*G97)+(H97*I97)+(J97*K97)+(L97*M97)+(N97*O97)+(P97*Q97)+(R97*S97)+(T97*U97)+(V97*W97)+(X97*Y97)+(Z97*AA97))</f>
        <v>4.8959999999999999</v>
      </c>
      <c r="D97" s="77"/>
      <c r="E97" s="78"/>
      <c r="F97" s="77"/>
      <c r="G97" s="78"/>
      <c r="H97" s="77"/>
      <c r="I97" s="78"/>
      <c r="J97" s="77"/>
      <c r="K97" s="78"/>
      <c r="L97" s="77"/>
      <c r="M97" s="78"/>
      <c r="N97" s="77"/>
      <c r="O97" s="78"/>
      <c r="P97" s="77"/>
      <c r="Q97" s="78"/>
      <c r="R97" s="77"/>
      <c r="S97" s="78"/>
      <c r="T97" s="77"/>
      <c r="U97" s="78"/>
      <c r="V97" s="77"/>
      <c r="W97" s="78"/>
      <c r="X97" s="77"/>
      <c r="Y97" s="78"/>
      <c r="Z97" s="77"/>
      <c r="AA97" s="78"/>
    </row>
    <row r="98" spans="1:27">
      <c r="A98" s="67" t="s">
        <v>191</v>
      </c>
      <c r="B98" s="6">
        <v>11.4</v>
      </c>
      <c r="C98" s="4">
        <f t="shared" si="0"/>
        <v>13.32</v>
      </c>
      <c r="D98" s="75">
        <v>4.8</v>
      </c>
      <c r="E98" s="76">
        <v>2.65</v>
      </c>
      <c r="F98" s="77"/>
      <c r="G98" s="78"/>
      <c r="H98" s="77"/>
      <c r="I98" s="78"/>
      <c r="J98" s="77"/>
      <c r="K98" s="78"/>
      <c r="L98" s="75">
        <v>4.8</v>
      </c>
      <c r="M98" s="76">
        <v>2.65</v>
      </c>
      <c r="N98" s="77"/>
      <c r="O98" s="78"/>
      <c r="P98" s="77"/>
      <c r="Q98" s="78"/>
      <c r="R98" s="77"/>
      <c r="S98" s="78"/>
      <c r="T98" s="77"/>
      <c r="U98" s="78"/>
      <c r="V98" s="77"/>
      <c r="W98" s="78"/>
      <c r="X98" s="77"/>
      <c r="Y98" s="78"/>
      <c r="Z98" s="77"/>
      <c r="AA98" s="78"/>
    </row>
    <row r="99" spans="1:27">
      <c r="A99" s="67" t="s">
        <v>192</v>
      </c>
      <c r="B99" s="6">
        <v>14.27</v>
      </c>
      <c r="C99" s="4">
        <f t="shared" si="0"/>
        <v>20.6555</v>
      </c>
      <c r="D99" s="75">
        <v>7.75</v>
      </c>
      <c r="E99" s="76">
        <v>2.95</v>
      </c>
      <c r="F99" s="75">
        <v>5</v>
      </c>
      <c r="G99" s="76">
        <v>1</v>
      </c>
      <c r="H99" s="77"/>
      <c r="I99" s="78"/>
      <c r="J99" s="77"/>
      <c r="K99" s="78"/>
      <c r="L99" s="77"/>
      <c r="M99" s="78"/>
      <c r="N99" s="77"/>
      <c r="O99" s="78"/>
      <c r="P99" s="77"/>
      <c r="Q99" s="78"/>
      <c r="R99" s="77"/>
      <c r="S99" s="78"/>
      <c r="T99" s="77"/>
      <c r="U99" s="78"/>
      <c r="V99" s="77"/>
      <c r="W99" s="78"/>
      <c r="X99" s="77"/>
      <c r="Y99" s="78"/>
      <c r="Z99" s="77"/>
      <c r="AA99" s="78"/>
    </row>
    <row r="100" spans="1:27">
      <c r="A100" s="67" t="s">
        <v>193</v>
      </c>
      <c r="B100" s="6">
        <v>2.2000000000000002</v>
      </c>
      <c r="C100" s="4">
        <f t="shared" ref="C100:C101" si="5">(B100*$A$3)-((D100*E100)+(F100*G100)+(H100*I100)+(J100*K100)+(L100*M100)+(N100*O100)+(P100*Q100)+(R100*S100)+(T100*U100)+(V100*W100)+(X100*Y100)+(Z100*AA100))</f>
        <v>3.0700000000000003</v>
      </c>
      <c r="D100" s="77"/>
      <c r="E100" s="78"/>
      <c r="F100" s="77"/>
      <c r="G100" s="78"/>
      <c r="H100" s="77"/>
      <c r="I100" s="78"/>
      <c r="J100" s="77"/>
      <c r="K100" s="78"/>
      <c r="L100" s="75">
        <v>2.1</v>
      </c>
      <c r="M100" s="76">
        <v>2.1</v>
      </c>
      <c r="N100" s="77"/>
      <c r="O100" s="78"/>
      <c r="P100" s="77"/>
      <c r="Q100" s="78"/>
      <c r="R100" s="77"/>
      <c r="S100" s="78"/>
      <c r="T100" s="77"/>
      <c r="U100" s="78"/>
      <c r="V100" s="77"/>
      <c r="W100" s="78"/>
      <c r="X100" s="77"/>
      <c r="Y100" s="78"/>
      <c r="Z100" s="77"/>
      <c r="AA100" s="78"/>
    </row>
    <row r="101" spans="1:27">
      <c r="A101" s="67" t="s">
        <v>194</v>
      </c>
      <c r="B101" s="6">
        <v>3.18</v>
      </c>
      <c r="C101" s="4">
        <f t="shared" si="5"/>
        <v>10.811999999999999</v>
      </c>
      <c r="D101" s="77"/>
      <c r="E101" s="78"/>
      <c r="F101" s="77"/>
      <c r="G101" s="78"/>
      <c r="H101" s="77"/>
      <c r="I101" s="78"/>
      <c r="J101" s="77"/>
      <c r="K101" s="78"/>
      <c r="L101" s="77"/>
      <c r="M101" s="78"/>
      <c r="N101" s="77"/>
      <c r="O101" s="78"/>
      <c r="P101" s="77"/>
      <c r="Q101" s="78"/>
      <c r="R101" s="77"/>
      <c r="S101" s="78"/>
      <c r="T101" s="77"/>
      <c r="U101" s="78"/>
      <c r="V101" s="77"/>
      <c r="W101" s="78"/>
      <c r="X101" s="77"/>
      <c r="Y101" s="78"/>
      <c r="Z101" s="77"/>
      <c r="AA101" s="78"/>
    </row>
    <row r="103" spans="1:27">
      <c r="A103" s="67" t="s">
        <v>88</v>
      </c>
      <c r="B103" s="157">
        <f>SUM(B5:B101)</f>
        <v>599.15999999999974</v>
      </c>
      <c r="C103" s="158"/>
    </row>
    <row r="104" spans="1:27" hidden="1">
      <c r="A104" s="5" t="s">
        <v>363</v>
      </c>
    </row>
  </sheetData>
  <mergeCells count="15">
    <mergeCell ref="A1:AA1"/>
    <mergeCell ref="V3:W3"/>
    <mergeCell ref="X3:Y3"/>
    <mergeCell ref="Z3:AA3"/>
    <mergeCell ref="B103:C103"/>
    <mergeCell ref="D2:AA2"/>
    <mergeCell ref="D3:E3"/>
    <mergeCell ref="F3:G3"/>
    <mergeCell ref="H3:I3"/>
    <mergeCell ref="J3:K3"/>
    <mergeCell ref="L3:M3"/>
    <mergeCell ref="N3:O3"/>
    <mergeCell ref="P3:Q3"/>
    <mergeCell ref="R3:S3"/>
    <mergeCell ref="T3:U3"/>
  </mergeCells>
  <pageMargins left="0.51181102362204722" right="0.51181102362204722" top="0.78740157480314965" bottom="0.78740157480314965" header="0.31496062992125984" footer="0.31496062992125984"/>
  <pageSetup paperSize="9" scale="58" orientation="landscape" r:id="rId1"/>
  <rowBreaks count="1" manualBreakCount="1">
    <brk id="52" max="2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5">
    <tabColor rgb="FF00FF00"/>
  </sheetPr>
  <dimension ref="A1:AC37"/>
  <sheetViews>
    <sheetView view="pageBreakPreview" zoomScale="85" zoomScaleNormal="85" zoomScaleSheetLayoutView="85" workbookViewId="0">
      <selection activeCell="A37" sqref="A37:XFD37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0" t="s">
        <v>353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2"/>
    </row>
    <row r="2" spans="1:29" s="3" customFormat="1">
      <c r="A2" s="5"/>
      <c r="F2" s="147" t="s">
        <v>9</v>
      </c>
      <c r="G2" s="147"/>
      <c r="H2" s="147" t="s">
        <v>12</v>
      </c>
      <c r="I2" s="147"/>
      <c r="J2" s="147" t="s">
        <v>13</v>
      </c>
      <c r="K2" s="147"/>
      <c r="L2" s="147" t="s">
        <v>14</v>
      </c>
      <c r="M2" s="147"/>
      <c r="N2" s="147" t="s">
        <v>200</v>
      </c>
      <c r="O2" s="147"/>
      <c r="P2" s="147" t="s">
        <v>201</v>
      </c>
      <c r="Q2" s="147"/>
      <c r="R2" s="147" t="s">
        <v>202</v>
      </c>
      <c r="S2" s="147"/>
      <c r="T2" s="147" t="s">
        <v>203</v>
      </c>
      <c r="U2" s="147"/>
      <c r="V2" s="147" t="s">
        <v>204</v>
      </c>
      <c r="W2" s="147"/>
      <c r="X2" s="147" t="s">
        <v>205</v>
      </c>
      <c r="Y2" s="147"/>
      <c r="Z2" s="147" t="s">
        <v>206</v>
      </c>
      <c r="AA2" s="147"/>
      <c r="AB2" s="147" t="s">
        <v>23</v>
      </c>
      <c r="AC2" s="147"/>
    </row>
    <row r="3" spans="1:29" ht="45" customHeight="1">
      <c r="A3" s="1"/>
      <c r="B3" s="27" t="s">
        <v>98</v>
      </c>
      <c r="C3" s="27" t="s">
        <v>100</v>
      </c>
      <c r="D3" s="27" t="s">
        <v>101</v>
      </c>
      <c r="E3" s="27" t="s">
        <v>99</v>
      </c>
      <c r="F3" s="30" t="s">
        <v>10</v>
      </c>
      <c r="G3" s="30" t="s">
        <v>11</v>
      </c>
      <c r="H3" s="30" t="s">
        <v>10</v>
      </c>
      <c r="I3" s="30" t="s">
        <v>11</v>
      </c>
      <c r="J3" s="30" t="s">
        <v>10</v>
      </c>
      <c r="K3" s="30" t="s">
        <v>11</v>
      </c>
      <c r="L3" s="30" t="s">
        <v>10</v>
      </c>
      <c r="M3" s="30" t="s">
        <v>11</v>
      </c>
      <c r="N3" s="30" t="s">
        <v>10</v>
      </c>
      <c r="O3" s="30" t="s">
        <v>11</v>
      </c>
      <c r="P3" s="30" t="s">
        <v>10</v>
      </c>
      <c r="Q3" s="30" t="s">
        <v>11</v>
      </c>
      <c r="R3" s="30" t="s">
        <v>10</v>
      </c>
      <c r="S3" s="30" t="s">
        <v>11</v>
      </c>
      <c r="T3" s="30" t="s">
        <v>10</v>
      </c>
      <c r="U3" s="30" t="s">
        <v>11</v>
      </c>
      <c r="V3" s="30" t="s">
        <v>10</v>
      </c>
      <c r="W3" s="30" t="s">
        <v>11</v>
      </c>
      <c r="X3" s="30" t="s">
        <v>10</v>
      </c>
      <c r="Y3" s="30" t="s">
        <v>11</v>
      </c>
      <c r="Z3" s="30" t="s">
        <v>10</v>
      </c>
      <c r="AA3" s="30" t="s">
        <v>11</v>
      </c>
      <c r="AB3" s="30" t="s">
        <v>10</v>
      </c>
      <c r="AC3" s="30" t="s">
        <v>11</v>
      </c>
    </row>
    <row r="4" spans="1:29">
      <c r="A4" s="50" t="s">
        <v>27</v>
      </c>
      <c r="B4" s="6">
        <v>0.4</v>
      </c>
      <c r="C4" s="6">
        <f>F4+H4+J4+L4+N4+P4+R4+T4+V4+X4+Z4+AB4</f>
        <v>4</v>
      </c>
      <c r="D4" s="31">
        <v>2</v>
      </c>
      <c r="E4" s="15">
        <f>C4+(B4*D4)</f>
        <v>4.8</v>
      </c>
      <c r="F4" s="75">
        <v>2</v>
      </c>
      <c r="G4" s="76">
        <v>1</v>
      </c>
      <c r="H4" s="75">
        <v>2</v>
      </c>
      <c r="I4" s="76">
        <v>1</v>
      </c>
      <c r="J4" s="77"/>
      <c r="K4" s="78"/>
      <c r="L4" s="77"/>
      <c r="M4" s="78"/>
      <c r="N4" s="77"/>
      <c r="O4" s="78"/>
      <c r="P4" s="77"/>
      <c r="Q4" s="78"/>
      <c r="R4" s="77"/>
      <c r="S4" s="78"/>
      <c r="T4" s="77"/>
      <c r="U4" s="78"/>
      <c r="V4" s="77"/>
      <c r="W4" s="78"/>
      <c r="X4" s="77"/>
      <c r="Y4" s="78"/>
      <c r="Z4" s="77"/>
      <c r="AA4" s="78"/>
      <c r="AB4" s="77"/>
      <c r="AC4" s="78"/>
    </row>
    <row r="5" spans="1:29">
      <c r="A5" s="50" t="s">
        <v>28</v>
      </c>
      <c r="B5" s="6">
        <v>0.4</v>
      </c>
      <c r="C5" s="6">
        <f t="shared" ref="C5:C13" si="0">F5+H5+J5+L5+N5+P5+R5+T5+V5+X5+Z5+AB5</f>
        <v>8.75</v>
      </c>
      <c r="D5" s="31">
        <v>5</v>
      </c>
      <c r="E5" s="15">
        <f t="shared" ref="E5:E13" si="1">C5+(B5*D5)</f>
        <v>10.75</v>
      </c>
      <c r="F5" s="75">
        <v>1</v>
      </c>
      <c r="G5" s="76">
        <v>0.8</v>
      </c>
      <c r="H5" s="75">
        <v>2.75</v>
      </c>
      <c r="I5" s="76">
        <v>1</v>
      </c>
      <c r="J5" s="75">
        <v>1</v>
      </c>
      <c r="K5" s="76">
        <v>0.8</v>
      </c>
      <c r="L5" s="75">
        <v>3</v>
      </c>
      <c r="M5" s="76">
        <v>1</v>
      </c>
      <c r="N5" s="75">
        <v>1</v>
      </c>
      <c r="O5" s="76">
        <v>0.8</v>
      </c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</row>
    <row r="6" spans="1:29">
      <c r="A6" s="50" t="s">
        <v>33</v>
      </c>
      <c r="B6" s="6">
        <v>0.4</v>
      </c>
      <c r="C6" s="6">
        <f t="shared" si="0"/>
        <v>4.4000000000000004</v>
      </c>
      <c r="D6" s="31">
        <v>2</v>
      </c>
      <c r="E6" s="15">
        <f t="shared" si="1"/>
        <v>5.2</v>
      </c>
      <c r="F6" s="75">
        <v>2.2000000000000002</v>
      </c>
      <c r="G6" s="76">
        <v>1</v>
      </c>
      <c r="H6" s="75">
        <v>2.2000000000000002</v>
      </c>
      <c r="I6" s="76">
        <v>1</v>
      </c>
      <c r="J6" s="77"/>
      <c r="K6" s="78"/>
      <c r="L6" s="77"/>
      <c r="M6" s="78"/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</row>
    <row r="7" spans="1:29">
      <c r="A7" s="50" t="s">
        <v>160</v>
      </c>
      <c r="B7" s="6">
        <v>0.4</v>
      </c>
      <c r="C7" s="6">
        <f t="shared" si="0"/>
        <v>13.9</v>
      </c>
      <c r="D7" s="31">
        <v>1</v>
      </c>
      <c r="E7" s="15">
        <f t="shared" si="1"/>
        <v>14.3</v>
      </c>
      <c r="F7" s="75">
        <v>13.9</v>
      </c>
      <c r="G7" s="76">
        <v>1</v>
      </c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</row>
    <row r="8" spans="1:29">
      <c r="A8" s="50" t="s">
        <v>164</v>
      </c>
      <c r="B8" s="6">
        <v>0.4</v>
      </c>
      <c r="C8" s="6">
        <f t="shared" si="0"/>
        <v>4.1500000000000004</v>
      </c>
      <c r="D8" s="31">
        <v>1</v>
      </c>
      <c r="E8" s="15">
        <f t="shared" si="1"/>
        <v>4.5500000000000007</v>
      </c>
      <c r="F8" s="75">
        <v>4.1500000000000004</v>
      </c>
      <c r="G8" s="76">
        <v>1</v>
      </c>
      <c r="H8" s="77"/>
      <c r="I8" s="78"/>
      <c r="J8" s="77"/>
      <c r="K8" s="78"/>
      <c r="L8" s="77"/>
      <c r="M8" s="78"/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</row>
    <row r="9" spans="1:29">
      <c r="A9" s="50" t="s">
        <v>165</v>
      </c>
      <c r="B9" s="6">
        <v>0.4</v>
      </c>
      <c r="C9" s="6">
        <f t="shared" si="0"/>
        <v>10.45</v>
      </c>
      <c r="D9" s="31">
        <v>2</v>
      </c>
      <c r="E9" s="15">
        <f t="shared" si="1"/>
        <v>11.25</v>
      </c>
      <c r="F9" s="90">
        <v>7.1</v>
      </c>
      <c r="G9" s="91">
        <v>1</v>
      </c>
      <c r="H9" s="90">
        <v>3.35</v>
      </c>
      <c r="I9" s="91">
        <v>1</v>
      </c>
      <c r="J9" s="77"/>
      <c r="K9" s="78"/>
      <c r="L9" s="77"/>
      <c r="M9" s="78"/>
      <c r="N9" s="77"/>
      <c r="O9" s="78"/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</row>
    <row r="10" spans="1:29" ht="15.75" thickBot="1">
      <c r="A10" s="25" t="s">
        <v>166</v>
      </c>
      <c r="B10" s="20">
        <v>0.4</v>
      </c>
      <c r="C10" s="20">
        <f t="shared" si="0"/>
        <v>11.55</v>
      </c>
      <c r="D10" s="32">
        <v>1</v>
      </c>
      <c r="E10" s="22">
        <f t="shared" si="1"/>
        <v>11.950000000000001</v>
      </c>
      <c r="F10" s="96">
        <v>11.55</v>
      </c>
      <c r="G10" s="97">
        <v>1</v>
      </c>
      <c r="H10" s="94"/>
      <c r="I10" s="95"/>
      <c r="J10" s="94"/>
      <c r="K10" s="95"/>
      <c r="L10" s="94"/>
      <c r="M10" s="95"/>
      <c r="N10" s="94"/>
      <c r="O10" s="95"/>
      <c r="P10" s="94"/>
      <c r="Q10" s="95"/>
      <c r="R10" s="94"/>
      <c r="S10" s="95"/>
      <c r="T10" s="94"/>
      <c r="U10" s="95"/>
      <c r="V10" s="94"/>
      <c r="W10" s="95"/>
      <c r="X10" s="94"/>
      <c r="Y10" s="95"/>
      <c r="Z10" s="94"/>
      <c r="AA10" s="95"/>
      <c r="AB10" s="94"/>
      <c r="AC10" s="95"/>
    </row>
    <row r="11" spans="1:29">
      <c r="A11" s="26" t="s">
        <v>56</v>
      </c>
      <c r="B11" s="23">
        <v>0.4</v>
      </c>
      <c r="C11" s="23">
        <f t="shared" si="0"/>
        <v>10</v>
      </c>
      <c r="D11" s="33">
        <v>5</v>
      </c>
      <c r="E11" s="34">
        <f t="shared" si="1"/>
        <v>12</v>
      </c>
      <c r="F11" s="98">
        <v>2</v>
      </c>
      <c r="G11" s="99">
        <v>1</v>
      </c>
      <c r="H11" s="98">
        <v>2</v>
      </c>
      <c r="I11" s="99">
        <v>1</v>
      </c>
      <c r="J11" s="98">
        <v>2</v>
      </c>
      <c r="K11" s="99">
        <v>1</v>
      </c>
      <c r="L11" s="98">
        <v>2</v>
      </c>
      <c r="M11" s="99">
        <v>1</v>
      </c>
      <c r="N11" s="98">
        <v>2</v>
      </c>
      <c r="O11" s="99">
        <v>1</v>
      </c>
      <c r="P11" s="100"/>
      <c r="Q11" s="101"/>
      <c r="R11" s="100"/>
      <c r="S11" s="101"/>
      <c r="T11" s="100"/>
      <c r="U11" s="101"/>
      <c r="V11" s="100"/>
      <c r="W11" s="101"/>
      <c r="X11" s="100"/>
      <c r="Y11" s="101"/>
      <c r="Z11" s="100"/>
      <c r="AA11" s="101"/>
      <c r="AB11" s="100"/>
      <c r="AC11" s="101"/>
    </row>
    <row r="12" spans="1:29">
      <c r="A12" s="50" t="s">
        <v>191</v>
      </c>
      <c r="B12" s="6">
        <v>0.4</v>
      </c>
      <c r="C12" s="6">
        <f t="shared" si="0"/>
        <v>4.8</v>
      </c>
      <c r="D12" s="31">
        <v>1</v>
      </c>
      <c r="E12" s="15">
        <f t="shared" si="1"/>
        <v>5.2</v>
      </c>
      <c r="F12" s="75">
        <v>4.8</v>
      </c>
      <c r="G12" s="76">
        <v>2.65</v>
      </c>
      <c r="H12" s="77"/>
      <c r="I12" s="78"/>
      <c r="J12" s="77"/>
      <c r="K12" s="78"/>
      <c r="L12" s="77"/>
      <c r="M12" s="78"/>
      <c r="N12" s="77"/>
      <c r="O12" s="78"/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</row>
    <row r="13" spans="1:29">
      <c r="A13" s="50" t="s">
        <v>192</v>
      </c>
      <c r="B13" s="6">
        <v>0.4</v>
      </c>
      <c r="C13" s="6">
        <f t="shared" si="0"/>
        <v>12.75</v>
      </c>
      <c r="D13" s="31">
        <v>2</v>
      </c>
      <c r="E13" s="15">
        <f t="shared" si="1"/>
        <v>13.55</v>
      </c>
      <c r="F13" s="75">
        <v>7.75</v>
      </c>
      <c r="G13" s="76">
        <v>2.95</v>
      </c>
      <c r="H13" s="75">
        <v>5</v>
      </c>
      <c r="I13" s="76">
        <v>1</v>
      </c>
      <c r="J13" s="77"/>
      <c r="K13" s="78"/>
      <c r="L13" s="77"/>
      <c r="M13" s="78"/>
      <c r="N13" s="77"/>
      <c r="O13" s="78"/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</row>
    <row r="14" spans="1:29" ht="15" customHeight="1"/>
    <row r="15" spans="1:29">
      <c r="A15" s="50" t="s">
        <v>207</v>
      </c>
      <c r="B15" s="157">
        <f>SUM(E4:E13)</f>
        <v>93.55</v>
      </c>
      <c r="C15" s="158"/>
    </row>
    <row r="16" spans="1:29" ht="9.9499999999999993" customHeight="1"/>
    <row r="17" spans="1:29" ht="15" customHeight="1">
      <c r="A17" s="50" t="s">
        <v>208</v>
      </c>
      <c r="B17" s="159">
        <f>B15*(0.15*0.19)</f>
        <v>2.6661749999999995</v>
      </c>
      <c r="C17" s="160"/>
    </row>
    <row r="18" spans="1:29" ht="5.0999999999999996" customHeight="1">
      <c r="A18" s="51"/>
      <c r="B18" s="52"/>
      <c r="C18" s="52"/>
    </row>
    <row r="19" spans="1:29" ht="15" customHeight="1">
      <c r="A19" s="53" t="s">
        <v>198</v>
      </c>
      <c r="B19" s="52"/>
      <c r="C19" s="52"/>
    </row>
    <row r="20" spans="1:29" ht="15" customHeight="1">
      <c r="A20" s="53"/>
      <c r="B20" s="52"/>
      <c r="C20" s="52"/>
    </row>
    <row r="21" spans="1:29" ht="15" customHeight="1"/>
    <row r="22" spans="1:29">
      <c r="B22" s="3"/>
      <c r="C22" s="3"/>
      <c r="D22" s="3"/>
      <c r="E22" s="3"/>
      <c r="F22" s="147" t="s">
        <v>9</v>
      </c>
      <c r="G22" s="147"/>
      <c r="H22" s="147" t="s">
        <v>12</v>
      </c>
      <c r="I22" s="147"/>
      <c r="J22" s="147" t="s">
        <v>13</v>
      </c>
      <c r="K22" s="147"/>
      <c r="L22" s="147" t="s">
        <v>14</v>
      </c>
      <c r="M22" s="147"/>
      <c r="N22" s="147" t="s">
        <v>200</v>
      </c>
      <c r="O22" s="147"/>
      <c r="P22" s="147" t="s">
        <v>201</v>
      </c>
      <c r="Q22" s="147"/>
      <c r="R22" s="147" t="s">
        <v>202</v>
      </c>
      <c r="S22" s="147"/>
      <c r="T22" s="147" t="s">
        <v>203</v>
      </c>
      <c r="U22" s="147"/>
      <c r="V22" s="147" t="s">
        <v>204</v>
      </c>
      <c r="W22" s="147"/>
      <c r="X22" s="147" t="s">
        <v>205</v>
      </c>
      <c r="Y22" s="147"/>
      <c r="Z22" s="147" t="s">
        <v>206</v>
      </c>
      <c r="AA22" s="147"/>
      <c r="AB22" s="147" t="s">
        <v>23</v>
      </c>
      <c r="AC22" s="147"/>
    </row>
    <row r="23" spans="1:29" ht="42.75">
      <c r="A23" s="1"/>
      <c r="B23" s="27" t="s">
        <v>98</v>
      </c>
      <c r="C23" s="27" t="s">
        <v>100</v>
      </c>
      <c r="D23" s="27" t="s">
        <v>101</v>
      </c>
      <c r="E23" s="27" t="s">
        <v>99</v>
      </c>
      <c r="F23" s="30" t="s">
        <v>10</v>
      </c>
      <c r="G23" s="30" t="s">
        <v>11</v>
      </c>
      <c r="H23" s="30" t="s">
        <v>10</v>
      </c>
      <c r="I23" s="30" t="s">
        <v>11</v>
      </c>
      <c r="J23" s="30" t="s">
        <v>10</v>
      </c>
      <c r="K23" s="30" t="s">
        <v>11</v>
      </c>
      <c r="L23" s="30" t="s">
        <v>10</v>
      </c>
      <c r="M23" s="30" t="s">
        <v>11</v>
      </c>
      <c r="N23" s="30" t="s">
        <v>10</v>
      </c>
      <c r="O23" s="30" t="s">
        <v>11</v>
      </c>
      <c r="P23" s="30" t="s">
        <v>10</v>
      </c>
      <c r="Q23" s="30" t="s">
        <v>11</v>
      </c>
      <c r="R23" s="30" t="s">
        <v>10</v>
      </c>
      <c r="S23" s="30" t="s">
        <v>11</v>
      </c>
      <c r="T23" s="30" t="s">
        <v>10</v>
      </c>
      <c r="U23" s="30" t="s">
        <v>11</v>
      </c>
      <c r="V23" s="30" t="s">
        <v>10</v>
      </c>
      <c r="W23" s="30" t="s">
        <v>11</v>
      </c>
      <c r="X23" s="30" t="s">
        <v>10</v>
      </c>
      <c r="Y23" s="30" t="s">
        <v>11</v>
      </c>
      <c r="Z23" s="30" t="s">
        <v>10</v>
      </c>
      <c r="AA23" s="30" t="s">
        <v>11</v>
      </c>
      <c r="AB23" s="30" t="s">
        <v>10</v>
      </c>
      <c r="AC23" s="30" t="s">
        <v>11</v>
      </c>
    </row>
    <row r="24" spans="1:29">
      <c r="A24" s="50" t="s">
        <v>45</v>
      </c>
      <c r="B24" s="6">
        <v>0.4</v>
      </c>
      <c r="C24" s="6">
        <f>F24+H24+J24+L24+N24+P24+R24+T24+V24+X24+Z24+AB24</f>
        <v>1.75</v>
      </c>
      <c r="D24" s="31">
        <v>1</v>
      </c>
      <c r="E24" s="15">
        <f t="shared" ref="E24:E26" si="2">C24+(B24*D24)</f>
        <v>2.15</v>
      </c>
      <c r="F24" s="75">
        <v>1.75</v>
      </c>
      <c r="G24" s="76">
        <v>1</v>
      </c>
      <c r="H24" s="77"/>
      <c r="I24" s="78"/>
      <c r="J24" s="77"/>
      <c r="K24" s="78"/>
      <c r="L24" s="77"/>
      <c r="M24" s="78"/>
      <c r="N24" s="77"/>
      <c r="O24" s="78"/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</row>
    <row r="25" spans="1:29" ht="15.75" thickBot="1">
      <c r="A25" s="25" t="s">
        <v>46</v>
      </c>
      <c r="B25" s="20">
        <v>0.4</v>
      </c>
      <c r="C25" s="20">
        <f t="shared" ref="C25:C26" si="3">F25+H25+J25+L25+N25+P25+R25+T25+V25+X25+Z25+AB25</f>
        <v>1.2</v>
      </c>
      <c r="D25" s="32">
        <v>1</v>
      </c>
      <c r="E25" s="20">
        <f t="shared" si="2"/>
        <v>1.6</v>
      </c>
      <c r="F25" s="96">
        <v>1.2</v>
      </c>
      <c r="G25" s="97">
        <v>0.6</v>
      </c>
      <c r="H25" s="94"/>
      <c r="I25" s="95"/>
      <c r="J25" s="94"/>
      <c r="K25" s="95"/>
      <c r="L25" s="94"/>
      <c r="M25" s="95"/>
      <c r="N25" s="94"/>
      <c r="O25" s="95"/>
      <c r="P25" s="94"/>
      <c r="Q25" s="95"/>
      <c r="R25" s="94"/>
      <c r="S25" s="95"/>
      <c r="T25" s="94"/>
      <c r="U25" s="95"/>
      <c r="V25" s="94"/>
      <c r="W25" s="95"/>
      <c r="X25" s="94"/>
      <c r="Y25" s="95"/>
      <c r="Z25" s="94"/>
      <c r="AA25" s="95"/>
      <c r="AB25" s="94"/>
      <c r="AC25" s="95"/>
    </row>
    <row r="26" spans="1:29">
      <c r="A26" s="50" t="s">
        <v>189</v>
      </c>
      <c r="B26" s="6">
        <v>0.4</v>
      </c>
      <c r="C26" s="23">
        <f t="shared" si="3"/>
        <v>1.05</v>
      </c>
      <c r="D26" s="31">
        <v>1</v>
      </c>
      <c r="E26" s="15">
        <f t="shared" si="2"/>
        <v>1.4500000000000002</v>
      </c>
      <c r="F26" s="75">
        <v>1.05</v>
      </c>
      <c r="G26" s="76">
        <v>1.8</v>
      </c>
      <c r="H26" s="77"/>
      <c r="I26" s="78"/>
      <c r="J26" s="77"/>
      <c r="K26" s="78"/>
      <c r="L26" s="77"/>
      <c r="M26" s="78"/>
      <c r="N26" s="77"/>
      <c r="O26" s="78"/>
      <c r="P26" s="77"/>
      <c r="Q26" s="78"/>
      <c r="R26" s="77"/>
      <c r="S26" s="78"/>
      <c r="T26" s="77"/>
      <c r="U26" s="78"/>
      <c r="V26" s="77"/>
      <c r="W26" s="78"/>
      <c r="X26" s="77"/>
      <c r="Y26" s="78"/>
      <c r="Z26" s="77"/>
      <c r="AA26" s="78"/>
      <c r="AB26" s="77"/>
      <c r="AC26" s="78"/>
    </row>
    <row r="27" spans="1:29" ht="15" customHeight="1"/>
    <row r="28" spans="1:29">
      <c r="A28" s="50" t="s">
        <v>207</v>
      </c>
      <c r="B28" s="157">
        <f>SUM(E24:E26)</f>
        <v>5.2</v>
      </c>
      <c r="C28" s="158"/>
    </row>
    <row r="29" spans="1:29" ht="9.9499999999999993" customHeight="1"/>
    <row r="30" spans="1:29">
      <c r="A30" s="50" t="s">
        <v>208</v>
      </c>
      <c r="B30" s="159">
        <f>B28*(0.12*0.19)</f>
        <v>0.11856000000000001</v>
      </c>
      <c r="C30" s="160"/>
    </row>
    <row r="31" spans="1:29" ht="5.0999999999999996" customHeight="1">
      <c r="A31" s="51"/>
      <c r="B31" s="52"/>
      <c r="C31" s="52"/>
    </row>
    <row r="32" spans="1:29">
      <c r="A32" s="53" t="s">
        <v>197</v>
      </c>
      <c r="B32" s="52"/>
      <c r="C32" s="52"/>
    </row>
    <row r="36" spans="1:3">
      <c r="A36" s="50" t="s">
        <v>199</v>
      </c>
      <c r="B36" s="159">
        <f>B17+B30</f>
        <v>2.7847349999999995</v>
      </c>
      <c r="C36" s="160"/>
    </row>
    <row r="37" spans="1:3" hidden="1">
      <c r="A37" s="5" t="s">
        <v>364</v>
      </c>
    </row>
  </sheetData>
  <mergeCells count="30">
    <mergeCell ref="A1:AC1"/>
    <mergeCell ref="B30:C30"/>
    <mergeCell ref="B36:C36"/>
    <mergeCell ref="AB2:AC2"/>
    <mergeCell ref="R22:S22"/>
    <mergeCell ref="T22:U22"/>
    <mergeCell ref="V22:W22"/>
    <mergeCell ref="X22:Y22"/>
    <mergeCell ref="Z22:AA22"/>
    <mergeCell ref="AB22:AC22"/>
    <mergeCell ref="R2:S2"/>
    <mergeCell ref="T2:U2"/>
    <mergeCell ref="V2:W2"/>
    <mergeCell ref="X2:Y2"/>
    <mergeCell ref="Z2:AA2"/>
    <mergeCell ref="B28:C28"/>
    <mergeCell ref="P22:Q22"/>
    <mergeCell ref="B17:C17"/>
    <mergeCell ref="N2:O2"/>
    <mergeCell ref="P2:Q2"/>
    <mergeCell ref="B15:C15"/>
    <mergeCell ref="F2:G2"/>
    <mergeCell ref="H2:I2"/>
    <mergeCell ref="J2:K2"/>
    <mergeCell ref="L2:M2"/>
    <mergeCell ref="F22:G22"/>
    <mergeCell ref="H22:I22"/>
    <mergeCell ref="J22:K22"/>
    <mergeCell ref="L22:M22"/>
    <mergeCell ref="N22:O2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6">
    <tabColor rgb="FF00FF00"/>
  </sheetPr>
  <dimension ref="A1:AC37"/>
  <sheetViews>
    <sheetView view="pageBreakPreview" zoomScale="85" zoomScaleNormal="85" zoomScaleSheetLayoutView="85" workbookViewId="0">
      <selection activeCell="Q41" sqref="Q41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16384" width="9.140625" style="5"/>
  </cols>
  <sheetData>
    <row r="1" spans="1:29">
      <c r="A1" s="150" t="s">
        <v>354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2"/>
    </row>
    <row r="2" spans="1:29" s="3" customFormat="1">
      <c r="A2" s="5"/>
      <c r="F2" s="147" t="s">
        <v>9</v>
      </c>
      <c r="G2" s="147"/>
      <c r="H2" s="147" t="s">
        <v>12</v>
      </c>
      <c r="I2" s="147"/>
      <c r="J2" s="147" t="s">
        <v>13</v>
      </c>
      <c r="K2" s="147"/>
      <c r="L2" s="147" t="s">
        <v>14</v>
      </c>
      <c r="M2" s="147"/>
      <c r="N2" s="147" t="s">
        <v>200</v>
      </c>
      <c r="O2" s="147"/>
      <c r="P2" s="147" t="s">
        <v>201</v>
      </c>
      <c r="Q2" s="147"/>
      <c r="R2" s="147" t="s">
        <v>202</v>
      </c>
      <c r="S2" s="147"/>
      <c r="T2" s="147" t="s">
        <v>203</v>
      </c>
      <c r="U2" s="147"/>
      <c r="V2" s="147" t="s">
        <v>204</v>
      </c>
      <c r="W2" s="147"/>
      <c r="X2" s="147" t="s">
        <v>205</v>
      </c>
      <c r="Y2" s="147"/>
      <c r="Z2" s="147" t="s">
        <v>206</v>
      </c>
      <c r="AA2" s="147"/>
      <c r="AB2" s="147" t="s">
        <v>23</v>
      </c>
      <c r="AC2" s="147"/>
    </row>
    <row r="3" spans="1:29" ht="45" customHeight="1">
      <c r="A3" s="1"/>
      <c r="B3" s="27" t="s">
        <v>98</v>
      </c>
      <c r="C3" s="27" t="s">
        <v>100</v>
      </c>
      <c r="D3" s="27" t="s">
        <v>101</v>
      </c>
      <c r="E3" s="27" t="s">
        <v>99</v>
      </c>
      <c r="F3" s="30" t="s">
        <v>10</v>
      </c>
      <c r="G3" s="30" t="s">
        <v>11</v>
      </c>
      <c r="H3" s="30" t="s">
        <v>10</v>
      </c>
      <c r="I3" s="30" t="s">
        <v>11</v>
      </c>
      <c r="J3" s="30" t="s">
        <v>10</v>
      </c>
      <c r="K3" s="30" t="s">
        <v>11</v>
      </c>
      <c r="L3" s="30" t="s">
        <v>10</v>
      </c>
      <c r="M3" s="30" t="s">
        <v>11</v>
      </c>
      <c r="N3" s="30" t="s">
        <v>10</v>
      </c>
      <c r="O3" s="30" t="s">
        <v>11</v>
      </c>
      <c r="P3" s="30" t="s">
        <v>10</v>
      </c>
      <c r="Q3" s="30" t="s">
        <v>11</v>
      </c>
      <c r="R3" s="30" t="s">
        <v>10</v>
      </c>
      <c r="S3" s="30" t="s">
        <v>11</v>
      </c>
      <c r="T3" s="30" t="s">
        <v>10</v>
      </c>
      <c r="U3" s="30" t="s">
        <v>11</v>
      </c>
      <c r="V3" s="30" t="s">
        <v>10</v>
      </c>
      <c r="W3" s="30" t="s">
        <v>11</v>
      </c>
      <c r="X3" s="30" t="s">
        <v>10</v>
      </c>
      <c r="Y3" s="30" t="s">
        <v>11</v>
      </c>
      <c r="Z3" s="30" t="s">
        <v>10</v>
      </c>
      <c r="AA3" s="30" t="s">
        <v>11</v>
      </c>
      <c r="AB3" s="30" t="s">
        <v>10</v>
      </c>
      <c r="AC3" s="30" t="s">
        <v>11</v>
      </c>
    </row>
    <row r="4" spans="1:29">
      <c r="A4" s="89" t="s">
        <v>27</v>
      </c>
      <c r="B4" s="6">
        <v>0.4</v>
      </c>
      <c r="C4" s="6">
        <f>F4+H4+J4+L4+N4+P4+R4+T4+V4+X4+Z4+AB4</f>
        <v>4</v>
      </c>
      <c r="D4" s="31">
        <v>2</v>
      </c>
      <c r="E4" s="15">
        <f>C4+(B4*D4)</f>
        <v>4.8</v>
      </c>
      <c r="F4" s="75">
        <v>2</v>
      </c>
      <c r="G4" s="76">
        <v>1</v>
      </c>
      <c r="H4" s="75">
        <v>2</v>
      </c>
      <c r="I4" s="76">
        <v>1</v>
      </c>
      <c r="J4" s="77"/>
      <c r="K4" s="78"/>
      <c r="L4" s="77"/>
      <c r="M4" s="78"/>
      <c r="N4" s="77"/>
      <c r="O4" s="78"/>
      <c r="P4" s="77"/>
      <c r="Q4" s="78"/>
      <c r="R4" s="77"/>
      <c r="S4" s="78"/>
      <c r="T4" s="77"/>
      <c r="U4" s="78"/>
      <c r="V4" s="77"/>
      <c r="W4" s="78"/>
      <c r="X4" s="77"/>
      <c r="Y4" s="78"/>
      <c r="Z4" s="77"/>
      <c r="AA4" s="78"/>
      <c r="AB4" s="77"/>
      <c r="AC4" s="78"/>
    </row>
    <row r="5" spans="1:29">
      <c r="A5" s="89" t="s">
        <v>28</v>
      </c>
      <c r="B5" s="6">
        <v>0.4</v>
      </c>
      <c r="C5" s="6">
        <f t="shared" ref="C5:C13" si="0">F5+H5+J5+L5+N5+P5+R5+T5+V5+X5+Z5+AB5</f>
        <v>8.75</v>
      </c>
      <c r="D5" s="31">
        <v>5</v>
      </c>
      <c r="E5" s="15">
        <f t="shared" ref="E5:E13" si="1">C5+(B5*D5)</f>
        <v>10.75</v>
      </c>
      <c r="F5" s="75">
        <v>1</v>
      </c>
      <c r="G5" s="76">
        <v>0.8</v>
      </c>
      <c r="H5" s="75">
        <v>2.75</v>
      </c>
      <c r="I5" s="76">
        <v>1</v>
      </c>
      <c r="J5" s="75">
        <v>1</v>
      </c>
      <c r="K5" s="76">
        <v>0.8</v>
      </c>
      <c r="L5" s="75">
        <v>3</v>
      </c>
      <c r="M5" s="76">
        <v>1</v>
      </c>
      <c r="N5" s="75">
        <v>1</v>
      </c>
      <c r="O5" s="76">
        <v>0.8</v>
      </c>
      <c r="P5" s="77"/>
      <c r="Q5" s="78"/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</row>
    <row r="6" spans="1:29">
      <c r="A6" s="89" t="s">
        <v>33</v>
      </c>
      <c r="B6" s="6">
        <v>0.4</v>
      </c>
      <c r="C6" s="6">
        <f t="shared" si="0"/>
        <v>4.4000000000000004</v>
      </c>
      <c r="D6" s="31">
        <v>2</v>
      </c>
      <c r="E6" s="15">
        <f t="shared" si="1"/>
        <v>5.2</v>
      </c>
      <c r="F6" s="75">
        <v>2.2000000000000002</v>
      </c>
      <c r="G6" s="76">
        <v>1</v>
      </c>
      <c r="H6" s="75">
        <v>2.2000000000000002</v>
      </c>
      <c r="I6" s="76">
        <v>1</v>
      </c>
      <c r="J6" s="77"/>
      <c r="K6" s="78"/>
      <c r="L6" s="77"/>
      <c r="M6" s="78"/>
      <c r="N6" s="77"/>
      <c r="O6" s="78"/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</row>
    <row r="7" spans="1:29">
      <c r="A7" s="89" t="s">
        <v>160</v>
      </c>
      <c r="B7" s="6">
        <v>0.4</v>
      </c>
      <c r="C7" s="6">
        <f t="shared" si="0"/>
        <v>13.9</v>
      </c>
      <c r="D7" s="31">
        <v>1</v>
      </c>
      <c r="E7" s="15">
        <f t="shared" si="1"/>
        <v>14.3</v>
      </c>
      <c r="F7" s="75">
        <v>13.9</v>
      </c>
      <c r="G7" s="76">
        <v>1</v>
      </c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</row>
    <row r="8" spans="1:29">
      <c r="A8" s="89" t="s">
        <v>164</v>
      </c>
      <c r="B8" s="6">
        <v>0.4</v>
      </c>
      <c r="C8" s="6">
        <f t="shared" si="0"/>
        <v>4.1500000000000004</v>
      </c>
      <c r="D8" s="31">
        <v>1</v>
      </c>
      <c r="E8" s="15">
        <f t="shared" si="1"/>
        <v>4.5500000000000007</v>
      </c>
      <c r="F8" s="75">
        <v>4.1500000000000004</v>
      </c>
      <c r="G8" s="76">
        <v>1</v>
      </c>
      <c r="H8" s="77"/>
      <c r="I8" s="78"/>
      <c r="J8" s="77"/>
      <c r="K8" s="78"/>
      <c r="L8" s="77"/>
      <c r="M8" s="78"/>
      <c r="N8" s="77"/>
      <c r="O8" s="78"/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</row>
    <row r="9" spans="1:29">
      <c r="A9" s="89" t="s">
        <v>165</v>
      </c>
      <c r="B9" s="6">
        <v>0.4</v>
      </c>
      <c r="C9" s="6">
        <f t="shared" si="0"/>
        <v>10.45</v>
      </c>
      <c r="D9" s="31">
        <v>2</v>
      </c>
      <c r="E9" s="15">
        <f t="shared" si="1"/>
        <v>11.25</v>
      </c>
      <c r="F9" s="90">
        <v>7.1</v>
      </c>
      <c r="G9" s="91">
        <v>1</v>
      </c>
      <c r="H9" s="90">
        <v>3.35</v>
      </c>
      <c r="I9" s="91">
        <v>1</v>
      </c>
      <c r="J9" s="77"/>
      <c r="K9" s="78"/>
      <c r="L9" s="77"/>
      <c r="M9" s="78"/>
      <c r="N9" s="77"/>
      <c r="O9" s="78"/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</row>
    <row r="10" spans="1:29" ht="15.75" thickBot="1">
      <c r="A10" s="25" t="s">
        <v>166</v>
      </c>
      <c r="B10" s="20">
        <v>0.4</v>
      </c>
      <c r="C10" s="20">
        <f t="shared" si="0"/>
        <v>11.55</v>
      </c>
      <c r="D10" s="32">
        <v>1</v>
      </c>
      <c r="E10" s="22">
        <f t="shared" si="1"/>
        <v>11.950000000000001</v>
      </c>
      <c r="F10" s="96">
        <v>11.55</v>
      </c>
      <c r="G10" s="97">
        <v>1</v>
      </c>
      <c r="H10" s="94"/>
      <c r="I10" s="95"/>
      <c r="J10" s="94"/>
      <c r="K10" s="95"/>
      <c r="L10" s="94"/>
      <c r="M10" s="95"/>
      <c r="N10" s="94"/>
      <c r="O10" s="95"/>
      <c r="P10" s="94"/>
      <c r="Q10" s="95"/>
      <c r="R10" s="94"/>
      <c r="S10" s="95"/>
      <c r="T10" s="94"/>
      <c r="U10" s="95"/>
      <c r="V10" s="94"/>
      <c r="W10" s="95"/>
      <c r="X10" s="94"/>
      <c r="Y10" s="95"/>
      <c r="Z10" s="94"/>
      <c r="AA10" s="95"/>
      <c r="AB10" s="94"/>
      <c r="AC10" s="95"/>
    </row>
    <row r="11" spans="1:29">
      <c r="A11" s="26" t="s">
        <v>56</v>
      </c>
      <c r="B11" s="23">
        <v>0.4</v>
      </c>
      <c r="C11" s="23">
        <f t="shared" si="0"/>
        <v>10</v>
      </c>
      <c r="D11" s="33">
        <v>5</v>
      </c>
      <c r="E11" s="34">
        <f t="shared" si="1"/>
        <v>12</v>
      </c>
      <c r="F11" s="98">
        <v>2</v>
      </c>
      <c r="G11" s="99">
        <v>1</v>
      </c>
      <c r="H11" s="98">
        <v>2</v>
      </c>
      <c r="I11" s="99">
        <v>1</v>
      </c>
      <c r="J11" s="98">
        <v>2</v>
      </c>
      <c r="K11" s="99">
        <v>1</v>
      </c>
      <c r="L11" s="98">
        <v>2</v>
      </c>
      <c r="M11" s="99">
        <v>1</v>
      </c>
      <c r="N11" s="98">
        <v>2</v>
      </c>
      <c r="O11" s="99">
        <v>1</v>
      </c>
      <c r="P11" s="100"/>
      <c r="Q11" s="101"/>
      <c r="R11" s="100"/>
      <c r="S11" s="101"/>
      <c r="T11" s="100"/>
      <c r="U11" s="101"/>
      <c r="V11" s="100"/>
      <c r="W11" s="101"/>
      <c r="X11" s="100"/>
      <c r="Y11" s="101"/>
      <c r="Z11" s="100"/>
      <c r="AA11" s="101"/>
      <c r="AB11" s="100"/>
      <c r="AC11" s="101"/>
    </row>
    <row r="12" spans="1:29">
      <c r="A12" s="89" t="s">
        <v>191</v>
      </c>
      <c r="B12" s="6">
        <v>0.4</v>
      </c>
      <c r="C12" s="6">
        <f t="shared" si="0"/>
        <v>4.8</v>
      </c>
      <c r="D12" s="31">
        <v>1</v>
      </c>
      <c r="E12" s="15">
        <f t="shared" si="1"/>
        <v>5.2</v>
      </c>
      <c r="F12" s="75">
        <v>4.8</v>
      </c>
      <c r="G12" s="76">
        <v>2.65</v>
      </c>
      <c r="H12" s="77"/>
      <c r="I12" s="78"/>
      <c r="J12" s="77"/>
      <c r="K12" s="78"/>
      <c r="L12" s="77"/>
      <c r="M12" s="78"/>
      <c r="N12" s="77"/>
      <c r="O12" s="78"/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</row>
    <row r="13" spans="1:29">
      <c r="A13" s="89" t="s">
        <v>192</v>
      </c>
      <c r="B13" s="6">
        <v>0.4</v>
      </c>
      <c r="C13" s="6">
        <f t="shared" si="0"/>
        <v>12.75</v>
      </c>
      <c r="D13" s="31">
        <v>2</v>
      </c>
      <c r="E13" s="15">
        <f t="shared" si="1"/>
        <v>13.55</v>
      </c>
      <c r="F13" s="75">
        <v>7.75</v>
      </c>
      <c r="G13" s="76">
        <v>2.95</v>
      </c>
      <c r="H13" s="75">
        <v>5</v>
      </c>
      <c r="I13" s="76">
        <v>1</v>
      </c>
      <c r="J13" s="77"/>
      <c r="K13" s="78"/>
      <c r="L13" s="77"/>
      <c r="M13" s="78"/>
      <c r="N13" s="77"/>
      <c r="O13" s="78"/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</row>
    <row r="14" spans="1:29" ht="15" customHeight="1"/>
    <row r="15" spans="1:29">
      <c r="A15" s="89" t="s">
        <v>207</v>
      </c>
      <c r="B15" s="157">
        <f>SUM(E4:E13)</f>
        <v>93.55</v>
      </c>
      <c r="C15" s="158"/>
    </row>
    <row r="16" spans="1:29" ht="9.9499999999999993" customHeight="1"/>
    <row r="17" spans="1:29" ht="15" customHeight="1">
      <c r="A17" s="89" t="s">
        <v>208</v>
      </c>
      <c r="B17" s="159">
        <f>B15*(0.15*0.19)</f>
        <v>2.6661749999999995</v>
      </c>
      <c r="C17" s="160"/>
    </row>
    <row r="18" spans="1:29" ht="5.0999999999999996" customHeight="1">
      <c r="A18" s="51"/>
      <c r="B18" s="52"/>
      <c r="C18" s="52"/>
    </row>
    <row r="19" spans="1:29" ht="15" customHeight="1">
      <c r="A19" s="53" t="s">
        <v>198</v>
      </c>
      <c r="B19" s="52"/>
      <c r="C19" s="52"/>
    </row>
    <row r="20" spans="1:29" ht="15" customHeight="1">
      <c r="A20" s="53"/>
      <c r="B20" s="52"/>
      <c r="C20" s="52"/>
    </row>
    <row r="21" spans="1:29" ht="15" customHeight="1"/>
    <row r="22" spans="1:29">
      <c r="B22" s="3"/>
      <c r="C22" s="3"/>
      <c r="D22" s="3"/>
      <c r="E22" s="3"/>
      <c r="F22" s="147" t="s">
        <v>9</v>
      </c>
      <c r="G22" s="147"/>
      <c r="H22" s="147" t="s">
        <v>12</v>
      </c>
      <c r="I22" s="147"/>
      <c r="J22" s="147" t="s">
        <v>13</v>
      </c>
      <c r="K22" s="147"/>
      <c r="L22" s="147" t="s">
        <v>14</v>
      </c>
      <c r="M22" s="147"/>
      <c r="N22" s="147" t="s">
        <v>200</v>
      </c>
      <c r="O22" s="147"/>
      <c r="P22" s="147" t="s">
        <v>201</v>
      </c>
      <c r="Q22" s="147"/>
      <c r="R22" s="147" t="s">
        <v>202</v>
      </c>
      <c r="S22" s="147"/>
      <c r="T22" s="147" t="s">
        <v>203</v>
      </c>
      <c r="U22" s="147"/>
      <c r="V22" s="147" t="s">
        <v>204</v>
      </c>
      <c r="W22" s="147"/>
      <c r="X22" s="147" t="s">
        <v>205</v>
      </c>
      <c r="Y22" s="147"/>
      <c r="Z22" s="147" t="s">
        <v>206</v>
      </c>
      <c r="AA22" s="147"/>
      <c r="AB22" s="147" t="s">
        <v>23</v>
      </c>
      <c r="AC22" s="147"/>
    </row>
    <row r="23" spans="1:29" ht="42.75">
      <c r="A23" s="1"/>
      <c r="B23" s="27" t="s">
        <v>98</v>
      </c>
      <c r="C23" s="27" t="s">
        <v>100</v>
      </c>
      <c r="D23" s="27" t="s">
        <v>101</v>
      </c>
      <c r="E23" s="27" t="s">
        <v>99</v>
      </c>
      <c r="F23" s="30" t="s">
        <v>10</v>
      </c>
      <c r="G23" s="30" t="s">
        <v>11</v>
      </c>
      <c r="H23" s="30" t="s">
        <v>10</v>
      </c>
      <c r="I23" s="30" t="s">
        <v>11</v>
      </c>
      <c r="J23" s="30" t="s">
        <v>10</v>
      </c>
      <c r="K23" s="30" t="s">
        <v>11</v>
      </c>
      <c r="L23" s="30" t="s">
        <v>10</v>
      </c>
      <c r="M23" s="30" t="s">
        <v>11</v>
      </c>
      <c r="N23" s="30" t="s">
        <v>10</v>
      </c>
      <c r="O23" s="30" t="s">
        <v>11</v>
      </c>
      <c r="P23" s="30" t="s">
        <v>10</v>
      </c>
      <c r="Q23" s="30" t="s">
        <v>11</v>
      </c>
      <c r="R23" s="30" t="s">
        <v>10</v>
      </c>
      <c r="S23" s="30" t="s">
        <v>11</v>
      </c>
      <c r="T23" s="30" t="s">
        <v>10</v>
      </c>
      <c r="U23" s="30" t="s">
        <v>11</v>
      </c>
      <c r="V23" s="30" t="s">
        <v>10</v>
      </c>
      <c r="W23" s="30" t="s">
        <v>11</v>
      </c>
      <c r="X23" s="30" t="s">
        <v>10</v>
      </c>
      <c r="Y23" s="30" t="s">
        <v>11</v>
      </c>
      <c r="Z23" s="30" t="s">
        <v>10</v>
      </c>
      <c r="AA23" s="30" t="s">
        <v>11</v>
      </c>
      <c r="AB23" s="30" t="s">
        <v>10</v>
      </c>
      <c r="AC23" s="30" t="s">
        <v>11</v>
      </c>
    </row>
    <row r="24" spans="1:29">
      <c r="A24" s="89" t="s">
        <v>45</v>
      </c>
      <c r="B24" s="6">
        <v>0.4</v>
      </c>
      <c r="C24" s="6">
        <f>F24+H24+J24+L24+N24+P24+R24+T24+V24+X24+Z24+AB24</f>
        <v>1.75</v>
      </c>
      <c r="D24" s="31">
        <v>1</v>
      </c>
      <c r="E24" s="15">
        <f t="shared" ref="E24:E26" si="2">C24+(B24*D24)</f>
        <v>2.15</v>
      </c>
      <c r="F24" s="75">
        <v>1.75</v>
      </c>
      <c r="G24" s="76">
        <v>1</v>
      </c>
      <c r="H24" s="77"/>
      <c r="I24" s="78"/>
      <c r="J24" s="77"/>
      <c r="K24" s="78"/>
      <c r="L24" s="77"/>
      <c r="M24" s="78"/>
      <c r="N24" s="77"/>
      <c r="O24" s="78"/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</row>
    <row r="25" spans="1:29" ht="15.75" thickBot="1">
      <c r="A25" s="25" t="s">
        <v>46</v>
      </c>
      <c r="B25" s="20">
        <v>0.4</v>
      </c>
      <c r="C25" s="20">
        <f t="shared" ref="C25:C26" si="3">F25+H25+J25+L25+N25+P25+R25+T25+V25+X25+Z25+AB25</f>
        <v>1.2</v>
      </c>
      <c r="D25" s="32">
        <v>1</v>
      </c>
      <c r="E25" s="20">
        <f t="shared" si="2"/>
        <v>1.6</v>
      </c>
      <c r="F25" s="96">
        <v>1.2</v>
      </c>
      <c r="G25" s="97">
        <v>0.6</v>
      </c>
      <c r="H25" s="94"/>
      <c r="I25" s="95"/>
      <c r="J25" s="94"/>
      <c r="K25" s="95"/>
      <c r="L25" s="94"/>
      <c r="M25" s="95"/>
      <c r="N25" s="94"/>
      <c r="O25" s="95"/>
      <c r="P25" s="94"/>
      <c r="Q25" s="95"/>
      <c r="R25" s="94"/>
      <c r="S25" s="95"/>
      <c r="T25" s="94"/>
      <c r="U25" s="95"/>
      <c r="V25" s="94"/>
      <c r="W25" s="95"/>
      <c r="X25" s="94"/>
      <c r="Y25" s="95"/>
      <c r="Z25" s="94"/>
      <c r="AA25" s="95"/>
      <c r="AB25" s="94"/>
      <c r="AC25" s="95"/>
    </row>
    <row r="26" spans="1:29">
      <c r="A26" s="89" t="s">
        <v>189</v>
      </c>
      <c r="B26" s="6">
        <v>0.4</v>
      </c>
      <c r="C26" s="23">
        <f t="shared" si="3"/>
        <v>1.05</v>
      </c>
      <c r="D26" s="31">
        <v>1</v>
      </c>
      <c r="E26" s="15">
        <f t="shared" si="2"/>
        <v>1.4500000000000002</v>
      </c>
      <c r="F26" s="75">
        <v>1.05</v>
      </c>
      <c r="G26" s="76">
        <v>1.8</v>
      </c>
      <c r="H26" s="77"/>
      <c r="I26" s="78"/>
      <c r="J26" s="77"/>
      <c r="K26" s="78"/>
      <c r="L26" s="77"/>
      <c r="M26" s="78"/>
      <c r="N26" s="77"/>
      <c r="O26" s="78"/>
      <c r="P26" s="77"/>
      <c r="Q26" s="78"/>
      <c r="R26" s="77"/>
      <c r="S26" s="78"/>
      <c r="T26" s="77"/>
      <c r="U26" s="78"/>
      <c r="V26" s="77"/>
      <c r="W26" s="78"/>
      <c r="X26" s="77"/>
      <c r="Y26" s="78"/>
      <c r="Z26" s="77"/>
      <c r="AA26" s="78"/>
      <c r="AB26" s="77"/>
      <c r="AC26" s="78"/>
    </row>
    <row r="27" spans="1:29" ht="15" customHeight="1"/>
    <row r="28" spans="1:29">
      <c r="A28" s="89" t="s">
        <v>207</v>
      </c>
      <c r="B28" s="157">
        <f>SUM(E24:E26)</f>
        <v>5.2</v>
      </c>
      <c r="C28" s="158"/>
    </row>
    <row r="29" spans="1:29" ht="9.9499999999999993" customHeight="1"/>
    <row r="30" spans="1:29">
      <c r="A30" s="89" t="s">
        <v>208</v>
      </c>
      <c r="B30" s="159">
        <f>B28*(0.12*0.19)</f>
        <v>0.11856000000000001</v>
      </c>
      <c r="C30" s="160"/>
    </row>
    <row r="31" spans="1:29" ht="5.0999999999999996" customHeight="1">
      <c r="A31" s="51"/>
      <c r="B31" s="52"/>
      <c r="C31" s="52"/>
    </row>
    <row r="32" spans="1:29">
      <c r="A32" s="53" t="s">
        <v>197</v>
      </c>
      <c r="B32" s="52"/>
      <c r="C32" s="52"/>
    </row>
    <row r="36" spans="1:3">
      <c r="A36" s="89" t="s">
        <v>199</v>
      </c>
      <c r="B36" s="159">
        <f>B17+B30</f>
        <v>2.7847349999999995</v>
      </c>
      <c r="C36" s="160"/>
    </row>
    <row r="37" spans="1:3" hidden="1">
      <c r="A37" s="5" t="s">
        <v>365</v>
      </c>
    </row>
  </sheetData>
  <mergeCells count="30">
    <mergeCell ref="A1:AC1"/>
    <mergeCell ref="AB2:AC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B15:C15"/>
    <mergeCell ref="B17:C17"/>
    <mergeCell ref="F22:G22"/>
    <mergeCell ref="H22:I22"/>
    <mergeCell ref="J22:K22"/>
    <mergeCell ref="Z22:AA22"/>
    <mergeCell ref="AB22:AC22"/>
    <mergeCell ref="B28:C28"/>
    <mergeCell ref="B30:C30"/>
    <mergeCell ref="B36:C36"/>
    <mergeCell ref="N22:O22"/>
    <mergeCell ref="P22:Q22"/>
    <mergeCell ref="R22:S22"/>
    <mergeCell ref="T22:U22"/>
    <mergeCell ref="V22:W22"/>
    <mergeCell ref="X22:Y22"/>
    <mergeCell ref="L22:M22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7">
    <tabColor rgb="FF00FF00"/>
  </sheetPr>
  <dimension ref="A1:AE50"/>
  <sheetViews>
    <sheetView view="pageBreakPreview" zoomScale="85" zoomScaleNormal="85" zoomScaleSheetLayoutView="85" workbookViewId="0">
      <selection activeCell="AH12" sqref="AH12"/>
    </sheetView>
  </sheetViews>
  <sheetFormatPr defaultRowHeight="15"/>
  <cols>
    <col min="1" max="1" width="20.7109375" style="5" customWidth="1"/>
    <col min="2" max="5" width="10.7109375" style="5" customWidth="1"/>
    <col min="6" max="15" width="7.7109375" style="5" customWidth="1"/>
    <col min="16" max="16" width="5.7109375" style="5" customWidth="1"/>
    <col min="17" max="17" width="20.7109375" style="5" customWidth="1"/>
    <col min="18" max="20" width="9.140625" style="5"/>
    <col min="21" max="21" width="10.7109375" style="5" customWidth="1"/>
    <col min="22" max="23" width="7.7109375" style="5" customWidth="1"/>
    <col min="24" max="29" width="6.7109375" style="5" customWidth="1"/>
    <col min="30" max="31" width="7.7109375" style="5" customWidth="1"/>
    <col min="32" max="16384" width="9.140625" style="5"/>
  </cols>
  <sheetData>
    <row r="1" spans="1:31">
      <c r="A1" s="147" t="s">
        <v>355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Q1" s="147" t="s">
        <v>355</v>
      </c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</row>
    <row r="2" spans="1:31" s="3" customFormat="1">
      <c r="A2" s="1"/>
      <c r="F2" s="147" t="s">
        <v>15</v>
      </c>
      <c r="G2" s="147"/>
      <c r="H2" s="147" t="s">
        <v>16</v>
      </c>
      <c r="I2" s="147"/>
      <c r="J2" s="147" t="s">
        <v>17</v>
      </c>
      <c r="K2" s="147"/>
      <c r="L2" s="147" t="s">
        <v>18</v>
      </c>
      <c r="M2" s="147"/>
      <c r="N2" s="147" t="s">
        <v>19</v>
      </c>
      <c r="O2" s="147"/>
      <c r="Q2" s="1"/>
      <c r="V2" s="147" t="s">
        <v>15</v>
      </c>
      <c r="W2" s="147"/>
      <c r="X2" s="147" t="s">
        <v>16</v>
      </c>
      <c r="Y2" s="147"/>
      <c r="Z2" s="147" t="s">
        <v>17</v>
      </c>
      <c r="AA2" s="147"/>
      <c r="AB2" s="147" t="s">
        <v>18</v>
      </c>
      <c r="AC2" s="147"/>
      <c r="AD2" s="147" t="s">
        <v>19</v>
      </c>
      <c r="AE2" s="147"/>
    </row>
    <row r="3" spans="1:31" ht="30" customHeight="1">
      <c r="A3" s="1"/>
      <c r="B3" s="27" t="s">
        <v>98</v>
      </c>
      <c r="C3" s="27" t="s">
        <v>100</v>
      </c>
      <c r="D3" s="27" t="s">
        <v>102</v>
      </c>
      <c r="E3" s="27" t="s">
        <v>103</v>
      </c>
      <c r="F3" s="30" t="s">
        <v>10</v>
      </c>
      <c r="G3" s="30" t="s">
        <v>11</v>
      </c>
      <c r="H3" s="30" t="s">
        <v>10</v>
      </c>
      <c r="I3" s="30" t="s">
        <v>11</v>
      </c>
      <c r="J3" s="30" t="s">
        <v>10</v>
      </c>
      <c r="K3" s="30" t="s">
        <v>11</v>
      </c>
      <c r="L3" s="30" t="s">
        <v>10</v>
      </c>
      <c r="M3" s="30" t="s">
        <v>11</v>
      </c>
      <c r="N3" s="30" t="s">
        <v>10</v>
      </c>
      <c r="O3" s="30" t="s">
        <v>11</v>
      </c>
      <c r="P3" s="1"/>
      <c r="Q3" s="1"/>
      <c r="R3" s="27" t="s">
        <v>98</v>
      </c>
      <c r="S3" s="27" t="s">
        <v>100</v>
      </c>
      <c r="T3" s="27" t="s">
        <v>102</v>
      </c>
      <c r="U3" s="27" t="s">
        <v>103</v>
      </c>
      <c r="V3" s="30" t="s">
        <v>10</v>
      </c>
      <c r="W3" s="30" t="s">
        <v>11</v>
      </c>
      <c r="X3" s="30" t="s">
        <v>10</v>
      </c>
      <c r="Y3" s="30" t="s">
        <v>11</v>
      </c>
      <c r="Z3" s="30" t="s">
        <v>10</v>
      </c>
      <c r="AA3" s="30" t="s">
        <v>11</v>
      </c>
      <c r="AB3" s="30" t="s">
        <v>10</v>
      </c>
      <c r="AC3" s="30" t="s">
        <v>11</v>
      </c>
      <c r="AD3" s="30" t="s">
        <v>10</v>
      </c>
      <c r="AE3" s="30" t="s">
        <v>11</v>
      </c>
    </row>
    <row r="4" spans="1:31">
      <c r="A4" s="49" t="s">
        <v>29</v>
      </c>
      <c r="B4" s="6">
        <v>0.4</v>
      </c>
      <c r="C4" s="6">
        <f>F4+H4+J4+L4+N4</f>
        <v>0.8</v>
      </c>
      <c r="D4" s="31">
        <v>1</v>
      </c>
      <c r="E4" s="15">
        <f>C4+(B4*D4)</f>
        <v>1.2000000000000002</v>
      </c>
      <c r="F4" s="75">
        <v>0.8</v>
      </c>
      <c r="G4" s="76">
        <v>2.1</v>
      </c>
      <c r="H4" s="77"/>
      <c r="I4" s="78"/>
      <c r="J4" s="77"/>
      <c r="K4" s="78"/>
      <c r="L4" s="77"/>
      <c r="M4" s="78"/>
      <c r="N4" s="77"/>
      <c r="O4" s="78"/>
      <c r="P4" s="1"/>
      <c r="Q4" s="49" t="s">
        <v>33</v>
      </c>
      <c r="R4" s="6">
        <v>0.4</v>
      </c>
      <c r="S4" s="6">
        <f>V4+X4+Z4+AB4+AD4</f>
        <v>2.1</v>
      </c>
      <c r="T4" s="31">
        <v>1</v>
      </c>
      <c r="U4" s="15">
        <f>S4+(R4*T4)</f>
        <v>2.5</v>
      </c>
      <c r="V4" s="75">
        <v>2.1</v>
      </c>
      <c r="W4" s="76">
        <v>2.1</v>
      </c>
      <c r="X4" s="77"/>
      <c r="Y4" s="78"/>
      <c r="Z4" s="77"/>
      <c r="AA4" s="78"/>
      <c r="AB4" s="77"/>
      <c r="AC4" s="78"/>
      <c r="AD4" s="77"/>
      <c r="AE4" s="78"/>
    </row>
    <row r="5" spans="1:31" ht="15.75" thickBot="1">
      <c r="A5" s="49" t="s">
        <v>34</v>
      </c>
      <c r="B5" s="6">
        <v>0.4</v>
      </c>
      <c r="C5" s="6">
        <f t="shared" ref="C5:C38" si="0">F5+H5+J5+L5+N5</f>
        <v>5</v>
      </c>
      <c r="D5" s="31">
        <v>1</v>
      </c>
      <c r="E5" s="15">
        <f t="shared" ref="E5:E38" si="1">C5+(B5*D5)</f>
        <v>5.4</v>
      </c>
      <c r="F5" s="75">
        <v>5</v>
      </c>
      <c r="G5" s="76">
        <v>2.65</v>
      </c>
      <c r="H5" s="77"/>
      <c r="I5" s="78"/>
      <c r="J5" s="77"/>
      <c r="K5" s="78"/>
      <c r="L5" s="77"/>
      <c r="M5" s="78"/>
      <c r="N5" s="77"/>
      <c r="O5" s="78"/>
      <c r="P5" s="1"/>
      <c r="Q5" s="25" t="s">
        <v>39</v>
      </c>
      <c r="R5" s="20">
        <v>0.4</v>
      </c>
      <c r="S5" s="20">
        <f t="shared" ref="S5:S6" si="2">V5+X5+Z5+AB5+AD5</f>
        <v>1.33</v>
      </c>
      <c r="T5" s="32">
        <v>1</v>
      </c>
      <c r="U5" s="22">
        <f t="shared" ref="U5:U6" si="3">S5+(R5*T5)</f>
        <v>1.73</v>
      </c>
      <c r="V5" s="96">
        <v>1.33</v>
      </c>
      <c r="W5" s="97">
        <v>2.1</v>
      </c>
      <c r="X5" s="94"/>
      <c r="Y5" s="95"/>
      <c r="Z5" s="94"/>
      <c r="AA5" s="95"/>
      <c r="AB5" s="94"/>
      <c r="AC5" s="95"/>
      <c r="AD5" s="94"/>
      <c r="AE5" s="95"/>
    </row>
    <row r="6" spans="1:31">
      <c r="A6" s="49" t="s">
        <v>36</v>
      </c>
      <c r="B6" s="6">
        <v>0.4</v>
      </c>
      <c r="C6" s="6">
        <f t="shared" si="0"/>
        <v>1.1000000000000001</v>
      </c>
      <c r="D6" s="31">
        <v>1</v>
      </c>
      <c r="E6" s="15">
        <f t="shared" si="1"/>
        <v>1.5</v>
      </c>
      <c r="F6" s="75">
        <v>1.1000000000000001</v>
      </c>
      <c r="G6" s="76">
        <v>2.1</v>
      </c>
      <c r="H6" s="77"/>
      <c r="I6" s="78"/>
      <c r="J6" s="77"/>
      <c r="K6" s="78"/>
      <c r="L6" s="77"/>
      <c r="M6" s="78"/>
      <c r="N6" s="77"/>
      <c r="O6" s="78"/>
      <c r="P6" s="1"/>
      <c r="Q6" s="26" t="s">
        <v>191</v>
      </c>
      <c r="R6" s="23">
        <v>0.4</v>
      </c>
      <c r="S6" s="23">
        <f t="shared" si="2"/>
        <v>4.8</v>
      </c>
      <c r="T6" s="33">
        <v>1</v>
      </c>
      <c r="U6" s="34">
        <f t="shared" si="3"/>
        <v>5.2</v>
      </c>
      <c r="V6" s="98">
        <v>4.8</v>
      </c>
      <c r="W6" s="99">
        <v>2.65</v>
      </c>
      <c r="X6" s="100"/>
      <c r="Y6" s="101"/>
      <c r="Z6" s="100"/>
      <c r="AA6" s="101"/>
      <c r="AB6" s="100"/>
      <c r="AC6" s="101"/>
      <c r="AD6" s="100"/>
      <c r="AE6" s="101"/>
    </row>
    <row r="7" spans="1:31">
      <c r="A7" s="49" t="s">
        <v>37</v>
      </c>
      <c r="B7" s="6">
        <v>0.4</v>
      </c>
      <c r="C7" s="6">
        <f t="shared" si="0"/>
        <v>0.8</v>
      </c>
      <c r="D7" s="31">
        <v>1</v>
      </c>
      <c r="E7" s="15">
        <f t="shared" si="1"/>
        <v>1.2000000000000002</v>
      </c>
      <c r="F7" s="75">
        <v>0.8</v>
      </c>
      <c r="G7" s="76">
        <v>2.1</v>
      </c>
      <c r="H7" s="77"/>
      <c r="I7" s="78"/>
      <c r="J7" s="77"/>
      <c r="K7" s="78"/>
      <c r="L7" s="77"/>
      <c r="M7" s="78"/>
      <c r="N7" s="77"/>
      <c r="O7" s="78"/>
      <c r="P7" s="1"/>
    </row>
    <row r="8" spans="1:31">
      <c r="A8" s="49" t="s">
        <v>44</v>
      </c>
      <c r="B8" s="6">
        <v>0.4</v>
      </c>
      <c r="C8" s="6">
        <f t="shared" si="0"/>
        <v>6.3</v>
      </c>
      <c r="D8" s="31">
        <v>5</v>
      </c>
      <c r="E8" s="15">
        <f t="shared" si="1"/>
        <v>8.3000000000000007</v>
      </c>
      <c r="F8" s="75">
        <v>1.1000000000000001</v>
      </c>
      <c r="G8" s="76">
        <v>2.1</v>
      </c>
      <c r="H8" s="75">
        <v>0.8</v>
      </c>
      <c r="I8" s="76">
        <v>2.1</v>
      </c>
      <c r="J8" s="75">
        <v>1.1000000000000001</v>
      </c>
      <c r="K8" s="76">
        <v>2.1</v>
      </c>
      <c r="L8" s="75">
        <v>1.1000000000000001</v>
      </c>
      <c r="M8" s="76">
        <v>2.1</v>
      </c>
      <c r="N8" s="75">
        <v>2.2000000000000002</v>
      </c>
      <c r="O8" s="76">
        <v>2.1</v>
      </c>
      <c r="P8" s="1"/>
      <c r="Q8" s="49" t="s">
        <v>88</v>
      </c>
      <c r="R8" s="157">
        <f>SUM(U4:U6)</f>
        <v>9.43</v>
      </c>
      <c r="S8" s="158"/>
    </row>
    <row r="9" spans="1:31">
      <c r="A9" s="49" t="s">
        <v>45</v>
      </c>
      <c r="B9" s="6">
        <v>0.4</v>
      </c>
      <c r="C9" s="6">
        <f t="shared" si="0"/>
        <v>3</v>
      </c>
      <c r="D9" s="31">
        <v>3</v>
      </c>
      <c r="E9" s="15">
        <f t="shared" si="1"/>
        <v>4.2</v>
      </c>
      <c r="F9" s="75">
        <v>0.8</v>
      </c>
      <c r="G9" s="76">
        <v>2.1</v>
      </c>
      <c r="H9" s="75">
        <v>1.1000000000000001</v>
      </c>
      <c r="I9" s="76">
        <v>2.1</v>
      </c>
      <c r="J9" s="75">
        <v>1.1000000000000001</v>
      </c>
      <c r="K9" s="76">
        <v>2.1</v>
      </c>
      <c r="L9" s="77"/>
      <c r="M9" s="78"/>
      <c r="N9" s="77"/>
      <c r="O9" s="78"/>
      <c r="P9" s="1"/>
    </row>
    <row r="10" spans="1:31">
      <c r="A10" s="49" t="s">
        <v>46</v>
      </c>
      <c r="B10" s="6">
        <v>0.4</v>
      </c>
      <c r="C10" s="6">
        <f t="shared" si="0"/>
        <v>1.6</v>
      </c>
      <c r="D10" s="31">
        <v>2</v>
      </c>
      <c r="E10" s="15">
        <f t="shared" si="1"/>
        <v>2.4000000000000004</v>
      </c>
      <c r="F10" s="75">
        <v>0.8</v>
      </c>
      <c r="G10" s="76">
        <v>2.1</v>
      </c>
      <c r="H10" s="75">
        <v>0.8</v>
      </c>
      <c r="I10" s="76">
        <v>2.1</v>
      </c>
      <c r="J10" s="77"/>
      <c r="K10" s="78"/>
      <c r="L10" s="77"/>
      <c r="M10" s="78"/>
      <c r="N10" s="77"/>
      <c r="O10" s="78"/>
      <c r="P10" s="1"/>
      <c r="Q10" s="49" t="s">
        <v>196</v>
      </c>
      <c r="R10" s="159">
        <f>R8*(0.15*0.19)</f>
        <v>0.26875499999999997</v>
      </c>
      <c r="S10" s="160"/>
    </row>
    <row r="11" spans="1:31">
      <c r="A11" s="49" t="s">
        <v>47</v>
      </c>
      <c r="B11" s="6">
        <v>0.4</v>
      </c>
      <c r="C11" s="6">
        <f t="shared" si="0"/>
        <v>2.2999999999999998</v>
      </c>
      <c r="D11" s="31">
        <v>2</v>
      </c>
      <c r="E11" s="15">
        <f t="shared" si="1"/>
        <v>3.0999999999999996</v>
      </c>
      <c r="F11" s="75">
        <v>1.1000000000000001</v>
      </c>
      <c r="G11" s="76">
        <v>2.1</v>
      </c>
      <c r="H11" s="75">
        <v>1.2</v>
      </c>
      <c r="I11" s="76">
        <v>2.1</v>
      </c>
      <c r="J11" s="77"/>
      <c r="K11" s="78"/>
      <c r="L11" s="77"/>
      <c r="M11" s="78"/>
      <c r="N11" s="77"/>
      <c r="O11" s="78"/>
      <c r="P11" s="1"/>
      <c r="Q11" s="51"/>
      <c r="R11" s="52"/>
      <c r="S11" s="52"/>
    </row>
    <row r="12" spans="1:31">
      <c r="A12" s="49" t="s">
        <v>48</v>
      </c>
      <c r="B12" s="6">
        <v>0.4</v>
      </c>
      <c r="C12" s="6">
        <f t="shared" si="0"/>
        <v>1.6</v>
      </c>
      <c r="D12" s="31">
        <v>2</v>
      </c>
      <c r="E12" s="15">
        <f t="shared" si="1"/>
        <v>2.4000000000000004</v>
      </c>
      <c r="F12" s="75">
        <v>0.8</v>
      </c>
      <c r="G12" s="76">
        <v>2.1</v>
      </c>
      <c r="H12" s="75">
        <v>0.8</v>
      </c>
      <c r="I12" s="76">
        <v>2.1</v>
      </c>
      <c r="J12" s="77"/>
      <c r="K12" s="78"/>
      <c r="L12" s="77"/>
      <c r="M12" s="78"/>
      <c r="N12" s="77"/>
      <c r="O12" s="78"/>
      <c r="P12" s="1"/>
      <c r="Q12" s="53" t="s">
        <v>198</v>
      </c>
    </row>
    <row r="13" spans="1:31">
      <c r="A13" s="49" t="s">
        <v>49</v>
      </c>
      <c r="B13" s="6">
        <v>0.4</v>
      </c>
      <c r="C13" s="6">
        <f t="shared" si="0"/>
        <v>2.4000000000000004</v>
      </c>
      <c r="D13" s="31">
        <v>3</v>
      </c>
      <c r="E13" s="15">
        <f t="shared" si="1"/>
        <v>3.6000000000000005</v>
      </c>
      <c r="F13" s="75">
        <v>0.8</v>
      </c>
      <c r="G13" s="76">
        <v>2.1</v>
      </c>
      <c r="H13" s="75">
        <v>0.8</v>
      </c>
      <c r="I13" s="76">
        <v>2.1</v>
      </c>
      <c r="J13" s="75">
        <v>0.8</v>
      </c>
      <c r="K13" s="76">
        <v>2.1</v>
      </c>
      <c r="L13" s="77"/>
      <c r="M13" s="78"/>
      <c r="N13" s="77"/>
      <c r="O13" s="78"/>
      <c r="P13" s="1"/>
    </row>
    <row r="14" spans="1:31">
      <c r="A14" s="49" t="s">
        <v>50</v>
      </c>
      <c r="B14" s="6">
        <v>0.4</v>
      </c>
      <c r="C14" s="6">
        <f t="shared" si="0"/>
        <v>2.4000000000000004</v>
      </c>
      <c r="D14" s="31">
        <v>3</v>
      </c>
      <c r="E14" s="15">
        <f t="shared" si="1"/>
        <v>3.6000000000000005</v>
      </c>
      <c r="F14" s="75">
        <v>0.8</v>
      </c>
      <c r="G14" s="76">
        <v>2.1</v>
      </c>
      <c r="H14" s="75">
        <v>0.8</v>
      </c>
      <c r="I14" s="76">
        <v>2.1</v>
      </c>
      <c r="J14" s="75">
        <v>0.8</v>
      </c>
      <c r="K14" s="76">
        <v>2.1</v>
      </c>
      <c r="L14" s="77"/>
      <c r="M14" s="78"/>
      <c r="N14" s="77"/>
      <c r="O14" s="78"/>
      <c r="P14" s="1"/>
    </row>
    <row r="15" spans="1:31">
      <c r="A15" s="49" t="s">
        <v>51</v>
      </c>
      <c r="B15" s="6">
        <v>0.4</v>
      </c>
      <c r="C15" s="6">
        <f t="shared" si="0"/>
        <v>0.8</v>
      </c>
      <c r="D15" s="31">
        <v>1</v>
      </c>
      <c r="E15" s="15">
        <f t="shared" si="1"/>
        <v>1.2000000000000002</v>
      </c>
      <c r="F15" s="75">
        <v>0.8</v>
      </c>
      <c r="G15" s="76">
        <v>2.1</v>
      </c>
      <c r="H15" s="77"/>
      <c r="I15" s="78"/>
      <c r="J15" s="77"/>
      <c r="K15" s="78"/>
      <c r="L15" s="77"/>
      <c r="M15" s="78"/>
      <c r="N15" s="77"/>
      <c r="O15" s="78"/>
      <c r="P15" s="1"/>
    </row>
    <row r="16" spans="1:31">
      <c r="A16" s="49" t="s">
        <v>53</v>
      </c>
      <c r="B16" s="6">
        <v>0.4</v>
      </c>
      <c r="C16" s="6">
        <f t="shared" si="0"/>
        <v>0.8</v>
      </c>
      <c r="D16" s="31">
        <v>1</v>
      </c>
      <c r="E16" s="15">
        <f t="shared" si="1"/>
        <v>1.2000000000000002</v>
      </c>
      <c r="F16" s="75">
        <v>0.8</v>
      </c>
      <c r="G16" s="76">
        <v>2.1</v>
      </c>
      <c r="H16" s="77"/>
      <c r="I16" s="78"/>
      <c r="J16" s="77"/>
      <c r="K16" s="78"/>
      <c r="L16" s="77"/>
      <c r="M16" s="78"/>
      <c r="N16" s="77"/>
      <c r="O16" s="78"/>
      <c r="P16" s="1"/>
    </row>
    <row r="17" spans="1:16">
      <c r="A17" s="49" t="s">
        <v>55</v>
      </c>
      <c r="B17" s="6">
        <v>0.4</v>
      </c>
      <c r="C17" s="6">
        <f t="shared" si="0"/>
        <v>1.2</v>
      </c>
      <c r="D17" s="31">
        <v>1</v>
      </c>
      <c r="E17" s="15">
        <f t="shared" si="1"/>
        <v>1.6</v>
      </c>
      <c r="F17" s="75">
        <v>1.2</v>
      </c>
      <c r="G17" s="76">
        <v>2.1</v>
      </c>
      <c r="H17" s="77"/>
      <c r="I17" s="78"/>
      <c r="J17" s="77"/>
      <c r="K17" s="78"/>
      <c r="L17" s="77"/>
      <c r="M17" s="78"/>
      <c r="N17" s="77"/>
      <c r="O17" s="78"/>
      <c r="P17" s="1"/>
    </row>
    <row r="18" spans="1:16">
      <c r="A18" s="49" t="s">
        <v>156</v>
      </c>
      <c r="B18" s="6">
        <v>0.4</v>
      </c>
      <c r="C18" s="6">
        <f t="shared" si="0"/>
        <v>2.6</v>
      </c>
      <c r="D18" s="31">
        <v>3</v>
      </c>
      <c r="E18" s="15">
        <f t="shared" si="1"/>
        <v>3.8000000000000003</v>
      </c>
      <c r="F18" s="90">
        <v>0.9</v>
      </c>
      <c r="G18" s="91">
        <v>2.1</v>
      </c>
      <c r="H18" s="90">
        <v>0.8</v>
      </c>
      <c r="I18" s="91">
        <v>2.1</v>
      </c>
      <c r="J18" s="90">
        <v>0.9</v>
      </c>
      <c r="K18" s="91">
        <v>2.1</v>
      </c>
      <c r="L18" s="77"/>
      <c r="M18" s="78"/>
      <c r="N18" s="77"/>
      <c r="O18" s="78"/>
      <c r="P18" s="1"/>
    </row>
    <row r="19" spans="1:16">
      <c r="A19" s="49" t="s">
        <v>158</v>
      </c>
      <c r="B19" s="6">
        <v>0.4</v>
      </c>
      <c r="C19" s="6">
        <f t="shared" si="0"/>
        <v>2.1</v>
      </c>
      <c r="D19" s="31">
        <v>1</v>
      </c>
      <c r="E19" s="15">
        <f t="shared" si="1"/>
        <v>2.5</v>
      </c>
      <c r="F19" s="75">
        <v>2.1</v>
      </c>
      <c r="G19" s="76">
        <v>2.1</v>
      </c>
      <c r="H19" s="77"/>
      <c r="I19" s="78"/>
      <c r="J19" s="77"/>
      <c r="K19" s="78"/>
      <c r="L19" s="77"/>
      <c r="M19" s="78"/>
      <c r="N19" s="77"/>
      <c r="O19" s="78"/>
      <c r="P19" s="1"/>
    </row>
    <row r="20" spans="1:16">
      <c r="A20" s="49" t="s">
        <v>162</v>
      </c>
      <c r="B20" s="6">
        <v>0.4</v>
      </c>
      <c r="C20" s="6">
        <f t="shared" si="0"/>
        <v>0.8</v>
      </c>
      <c r="D20" s="31">
        <v>1</v>
      </c>
      <c r="E20" s="15">
        <f t="shared" si="1"/>
        <v>1.2000000000000002</v>
      </c>
      <c r="F20" s="75">
        <v>0.8</v>
      </c>
      <c r="G20" s="76">
        <v>2.1</v>
      </c>
      <c r="H20" s="77"/>
      <c r="I20" s="78"/>
      <c r="J20" s="77"/>
      <c r="K20" s="78"/>
      <c r="L20" s="77"/>
      <c r="M20" s="78"/>
      <c r="N20" s="77"/>
      <c r="O20" s="78"/>
      <c r="P20" s="1"/>
    </row>
    <row r="21" spans="1:16">
      <c r="A21" s="49" t="s">
        <v>167</v>
      </c>
      <c r="B21" s="6">
        <v>0.4</v>
      </c>
      <c r="C21" s="6">
        <f t="shared" si="0"/>
        <v>0.8</v>
      </c>
      <c r="D21" s="31">
        <v>1</v>
      </c>
      <c r="E21" s="15">
        <f t="shared" si="1"/>
        <v>1.2000000000000002</v>
      </c>
      <c r="F21" s="75">
        <v>0.8</v>
      </c>
      <c r="G21" s="76">
        <v>2.1</v>
      </c>
      <c r="H21" s="77"/>
      <c r="I21" s="78"/>
      <c r="J21" s="77"/>
      <c r="K21" s="78"/>
      <c r="L21" s="77"/>
      <c r="M21" s="78"/>
      <c r="N21" s="77"/>
      <c r="O21" s="78"/>
      <c r="P21" s="1"/>
    </row>
    <row r="22" spans="1:16" ht="15.75" thickBot="1">
      <c r="A22" s="25" t="s">
        <v>168</v>
      </c>
      <c r="B22" s="20">
        <v>0.4</v>
      </c>
      <c r="C22" s="20">
        <f t="shared" si="0"/>
        <v>2.1</v>
      </c>
      <c r="D22" s="32">
        <v>1</v>
      </c>
      <c r="E22" s="22">
        <f t="shared" si="1"/>
        <v>2.5</v>
      </c>
      <c r="F22" s="96">
        <v>2.1</v>
      </c>
      <c r="G22" s="97">
        <v>2.1</v>
      </c>
      <c r="H22" s="94"/>
      <c r="I22" s="95"/>
      <c r="J22" s="94"/>
      <c r="K22" s="95"/>
      <c r="L22" s="94"/>
      <c r="M22" s="95"/>
      <c r="N22" s="94"/>
      <c r="O22" s="95"/>
      <c r="P22" s="1"/>
    </row>
    <row r="23" spans="1:16">
      <c r="A23" s="26" t="s">
        <v>61</v>
      </c>
      <c r="B23" s="23">
        <v>0.4</v>
      </c>
      <c r="C23" s="23">
        <f t="shared" si="0"/>
        <v>2.4000000000000004</v>
      </c>
      <c r="D23" s="33">
        <v>3</v>
      </c>
      <c r="E23" s="34">
        <f t="shared" si="1"/>
        <v>3.6000000000000005</v>
      </c>
      <c r="F23" s="98">
        <v>0.8</v>
      </c>
      <c r="G23" s="99">
        <v>2.1</v>
      </c>
      <c r="H23" s="98">
        <v>0.8</v>
      </c>
      <c r="I23" s="99">
        <v>2.1</v>
      </c>
      <c r="J23" s="98">
        <v>0.8</v>
      </c>
      <c r="K23" s="99">
        <v>2.1</v>
      </c>
      <c r="L23" s="100"/>
      <c r="M23" s="101"/>
      <c r="N23" s="100"/>
      <c r="O23" s="101"/>
      <c r="P23" s="3"/>
    </row>
    <row r="24" spans="1:16">
      <c r="A24" s="49" t="s">
        <v>64</v>
      </c>
      <c r="B24" s="6">
        <v>0.4</v>
      </c>
      <c r="C24" s="6">
        <f t="shared" si="0"/>
        <v>2.6</v>
      </c>
      <c r="D24" s="31">
        <v>3</v>
      </c>
      <c r="E24" s="15">
        <f t="shared" si="1"/>
        <v>3.8000000000000003</v>
      </c>
      <c r="F24" s="75">
        <v>0.9</v>
      </c>
      <c r="G24" s="76">
        <v>2.1</v>
      </c>
      <c r="H24" s="75">
        <v>0.9</v>
      </c>
      <c r="I24" s="76">
        <v>2.1</v>
      </c>
      <c r="J24" s="75">
        <v>0.8</v>
      </c>
      <c r="K24" s="76">
        <v>2.1</v>
      </c>
      <c r="L24" s="77"/>
      <c r="M24" s="78"/>
      <c r="N24" s="77"/>
      <c r="O24" s="78"/>
    </row>
    <row r="25" spans="1:16">
      <c r="A25" s="49" t="s">
        <v>69</v>
      </c>
      <c r="B25" s="6">
        <v>0.4</v>
      </c>
      <c r="C25" s="6">
        <f t="shared" si="0"/>
        <v>2.96</v>
      </c>
      <c r="D25" s="31">
        <v>2</v>
      </c>
      <c r="E25" s="15">
        <f t="shared" si="1"/>
        <v>3.76</v>
      </c>
      <c r="F25" s="75">
        <v>1.48</v>
      </c>
      <c r="G25" s="76">
        <v>2.1</v>
      </c>
      <c r="H25" s="75">
        <v>1.48</v>
      </c>
      <c r="I25" s="76">
        <v>2.1</v>
      </c>
      <c r="J25" s="77"/>
      <c r="K25" s="78"/>
      <c r="L25" s="77"/>
      <c r="M25" s="78"/>
      <c r="N25" s="77"/>
      <c r="O25" s="78"/>
    </row>
    <row r="26" spans="1:16">
      <c r="A26" s="49" t="s">
        <v>72</v>
      </c>
      <c r="B26" s="6">
        <v>0.4</v>
      </c>
      <c r="C26" s="6">
        <f t="shared" si="0"/>
        <v>2.1</v>
      </c>
      <c r="D26" s="31">
        <v>1</v>
      </c>
      <c r="E26" s="15">
        <f t="shared" si="1"/>
        <v>2.5</v>
      </c>
      <c r="F26" s="75">
        <v>2.1</v>
      </c>
      <c r="G26" s="76">
        <v>2.1</v>
      </c>
      <c r="H26" s="77"/>
      <c r="I26" s="78"/>
      <c r="J26" s="77"/>
      <c r="K26" s="78"/>
      <c r="L26" s="77"/>
      <c r="M26" s="78"/>
      <c r="N26" s="77"/>
      <c r="O26" s="78"/>
    </row>
    <row r="27" spans="1:16">
      <c r="A27" s="49" t="s">
        <v>73</v>
      </c>
      <c r="B27" s="6">
        <v>0.4</v>
      </c>
      <c r="C27" s="6">
        <f t="shared" si="0"/>
        <v>0.8</v>
      </c>
      <c r="D27" s="31">
        <v>1</v>
      </c>
      <c r="E27" s="15">
        <f t="shared" si="1"/>
        <v>1.2000000000000002</v>
      </c>
      <c r="F27" s="75">
        <v>0.8</v>
      </c>
      <c r="G27" s="76">
        <v>2.1</v>
      </c>
      <c r="H27" s="77"/>
      <c r="I27" s="78"/>
      <c r="J27" s="77"/>
      <c r="K27" s="78"/>
      <c r="L27" s="77"/>
      <c r="M27" s="78"/>
      <c r="N27" s="77"/>
      <c r="O27" s="78"/>
    </row>
    <row r="28" spans="1:16">
      <c r="A28" s="49" t="s">
        <v>74</v>
      </c>
      <c r="B28" s="6">
        <v>0.4</v>
      </c>
      <c r="C28" s="6">
        <f t="shared" si="0"/>
        <v>1.1000000000000001</v>
      </c>
      <c r="D28" s="31">
        <v>1</v>
      </c>
      <c r="E28" s="15">
        <f t="shared" si="1"/>
        <v>1.5</v>
      </c>
      <c r="F28" s="75">
        <v>1.1000000000000001</v>
      </c>
      <c r="G28" s="76">
        <v>2.1</v>
      </c>
      <c r="H28" s="77"/>
      <c r="I28" s="78"/>
      <c r="J28" s="77"/>
      <c r="K28" s="78"/>
      <c r="L28" s="77"/>
      <c r="M28" s="78"/>
      <c r="N28" s="77"/>
      <c r="O28" s="78"/>
    </row>
    <row r="29" spans="1:16">
      <c r="A29" s="49" t="s">
        <v>76</v>
      </c>
      <c r="B29" s="6">
        <v>0.4</v>
      </c>
      <c r="C29" s="6">
        <f t="shared" si="0"/>
        <v>1.6</v>
      </c>
      <c r="D29" s="31">
        <v>2</v>
      </c>
      <c r="E29" s="15">
        <f t="shared" si="1"/>
        <v>2.4000000000000004</v>
      </c>
      <c r="F29" s="75">
        <v>0.8</v>
      </c>
      <c r="G29" s="76">
        <v>2.1</v>
      </c>
      <c r="H29" s="75">
        <v>0.8</v>
      </c>
      <c r="I29" s="76">
        <v>2.1</v>
      </c>
      <c r="J29" s="77"/>
      <c r="K29" s="78"/>
      <c r="L29" s="77"/>
      <c r="M29" s="78"/>
      <c r="N29" s="77"/>
      <c r="O29" s="78"/>
    </row>
    <row r="30" spans="1:16">
      <c r="A30" s="49" t="s">
        <v>77</v>
      </c>
      <c r="B30" s="6">
        <v>0.4</v>
      </c>
      <c r="C30" s="6">
        <f t="shared" si="0"/>
        <v>1.1000000000000001</v>
      </c>
      <c r="D30" s="31">
        <v>1</v>
      </c>
      <c r="E30" s="15">
        <f t="shared" si="1"/>
        <v>1.5</v>
      </c>
      <c r="F30" s="75">
        <v>1.1000000000000001</v>
      </c>
      <c r="G30" s="76">
        <v>2.1</v>
      </c>
      <c r="H30" s="77"/>
      <c r="I30" s="78"/>
      <c r="J30" s="77"/>
      <c r="K30" s="78"/>
      <c r="L30" s="77"/>
      <c r="M30" s="78"/>
      <c r="N30" s="77"/>
      <c r="O30" s="78"/>
    </row>
    <row r="31" spans="1:16">
      <c r="A31" s="49" t="s">
        <v>81</v>
      </c>
      <c r="B31" s="6">
        <v>0.4</v>
      </c>
      <c r="C31" s="6">
        <f t="shared" si="0"/>
        <v>2.1</v>
      </c>
      <c r="D31" s="31">
        <v>1</v>
      </c>
      <c r="E31" s="15">
        <f t="shared" si="1"/>
        <v>2.5</v>
      </c>
      <c r="F31" s="75">
        <v>2.1</v>
      </c>
      <c r="G31" s="76">
        <v>2.1</v>
      </c>
      <c r="H31" s="77"/>
      <c r="I31" s="78"/>
      <c r="J31" s="77"/>
      <c r="K31" s="78"/>
      <c r="L31" s="77"/>
      <c r="M31" s="78"/>
      <c r="N31" s="77"/>
      <c r="O31" s="78"/>
    </row>
    <row r="32" spans="1:16">
      <c r="A32" s="49" t="s">
        <v>82</v>
      </c>
      <c r="B32" s="6">
        <v>0.4</v>
      </c>
      <c r="C32" s="6">
        <f t="shared" si="0"/>
        <v>0.9</v>
      </c>
      <c r="D32" s="31">
        <v>1</v>
      </c>
      <c r="E32" s="15">
        <f t="shared" si="1"/>
        <v>1.3</v>
      </c>
      <c r="F32" s="75">
        <v>0.9</v>
      </c>
      <c r="G32" s="76">
        <v>2.1</v>
      </c>
      <c r="H32" s="77"/>
      <c r="I32" s="78"/>
      <c r="J32" s="77"/>
      <c r="K32" s="78"/>
      <c r="L32" s="77"/>
      <c r="M32" s="78"/>
      <c r="N32" s="77"/>
      <c r="O32" s="78"/>
    </row>
    <row r="33" spans="1:15">
      <c r="A33" s="49" t="s">
        <v>175</v>
      </c>
      <c r="B33" s="6">
        <v>0.4</v>
      </c>
      <c r="C33" s="6">
        <f t="shared" si="0"/>
        <v>0.9</v>
      </c>
      <c r="D33" s="31">
        <v>1</v>
      </c>
      <c r="E33" s="15">
        <f t="shared" si="1"/>
        <v>1.3</v>
      </c>
      <c r="F33" s="75">
        <v>0.9</v>
      </c>
      <c r="G33" s="76">
        <v>2.1</v>
      </c>
      <c r="H33" s="77"/>
      <c r="I33" s="78"/>
      <c r="J33" s="77"/>
      <c r="K33" s="78"/>
      <c r="L33" s="77"/>
      <c r="M33" s="78"/>
      <c r="N33" s="77"/>
      <c r="O33" s="78"/>
    </row>
    <row r="34" spans="1:15">
      <c r="A34" s="49" t="s">
        <v>179</v>
      </c>
      <c r="B34" s="6">
        <v>0.4</v>
      </c>
      <c r="C34" s="6">
        <f t="shared" si="0"/>
        <v>0.9</v>
      </c>
      <c r="D34" s="31">
        <v>1</v>
      </c>
      <c r="E34" s="15">
        <f t="shared" si="1"/>
        <v>1.3</v>
      </c>
      <c r="F34" s="75">
        <v>0.9</v>
      </c>
      <c r="G34" s="76">
        <v>2.1</v>
      </c>
      <c r="H34" s="77"/>
      <c r="I34" s="78"/>
      <c r="J34" s="77"/>
      <c r="K34" s="78"/>
      <c r="L34" s="77"/>
      <c r="M34" s="78"/>
      <c r="N34" s="77"/>
      <c r="O34" s="78"/>
    </row>
    <row r="35" spans="1:15">
      <c r="A35" s="49" t="s">
        <v>180</v>
      </c>
      <c r="B35" s="6">
        <v>0.4</v>
      </c>
      <c r="C35" s="6">
        <f t="shared" si="0"/>
        <v>0.8</v>
      </c>
      <c r="D35" s="31">
        <v>1</v>
      </c>
      <c r="E35" s="15">
        <f t="shared" si="1"/>
        <v>1.2000000000000002</v>
      </c>
      <c r="F35" s="75">
        <v>0.8</v>
      </c>
      <c r="G35" s="76">
        <v>2.1</v>
      </c>
      <c r="H35" s="77"/>
      <c r="I35" s="78"/>
      <c r="J35" s="77"/>
      <c r="K35" s="78"/>
      <c r="L35" s="77"/>
      <c r="M35" s="78"/>
      <c r="N35" s="77"/>
      <c r="O35" s="78"/>
    </row>
    <row r="36" spans="1:15">
      <c r="A36" s="49" t="s">
        <v>186</v>
      </c>
      <c r="B36" s="6">
        <v>0.4</v>
      </c>
      <c r="C36" s="6">
        <f t="shared" si="0"/>
        <v>0.8</v>
      </c>
      <c r="D36" s="31">
        <v>1</v>
      </c>
      <c r="E36" s="15">
        <f t="shared" si="1"/>
        <v>1.2000000000000002</v>
      </c>
      <c r="F36" s="75">
        <v>0.8</v>
      </c>
      <c r="G36" s="76">
        <v>2.1</v>
      </c>
      <c r="H36" s="77"/>
      <c r="I36" s="78"/>
      <c r="J36" s="77"/>
      <c r="K36" s="78"/>
      <c r="L36" s="77"/>
      <c r="M36" s="78"/>
      <c r="N36" s="77"/>
      <c r="O36" s="78"/>
    </row>
    <row r="37" spans="1:15">
      <c r="A37" s="49" t="s">
        <v>189</v>
      </c>
      <c r="B37" s="6">
        <v>0.4</v>
      </c>
      <c r="C37" s="6">
        <f t="shared" si="0"/>
        <v>0.8</v>
      </c>
      <c r="D37" s="31">
        <v>1</v>
      </c>
      <c r="E37" s="15">
        <f t="shared" si="1"/>
        <v>1.2000000000000002</v>
      </c>
      <c r="F37" s="75">
        <v>0.8</v>
      </c>
      <c r="G37" s="76">
        <v>2.1</v>
      </c>
      <c r="H37" s="77"/>
      <c r="I37" s="78"/>
      <c r="J37" s="77"/>
      <c r="K37" s="78"/>
      <c r="L37" s="77"/>
      <c r="M37" s="78"/>
      <c r="N37" s="77"/>
      <c r="O37" s="78"/>
    </row>
    <row r="38" spans="1:15">
      <c r="A38" s="49" t="s">
        <v>193</v>
      </c>
      <c r="B38" s="6">
        <v>0.4</v>
      </c>
      <c r="C38" s="6">
        <f t="shared" si="0"/>
        <v>2.1</v>
      </c>
      <c r="D38" s="31">
        <v>1</v>
      </c>
      <c r="E38" s="15">
        <f t="shared" si="1"/>
        <v>2.5</v>
      </c>
      <c r="F38" s="75">
        <v>2.1</v>
      </c>
      <c r="G38" s="76">
        <v>2.1</v>
      </c>
      <c r="H38" s="77"/>
      <c r="I38" s="78"/>
      <c r="J38" s="77"/>
      <c r="K38" s="78"/>
      <c r="L38" s="77"/>
      <c r="M38" s="78"/>
      <c r="N38" s="77"/>
      <c r="O38" s="78"/>
    </row>
    <row r="40" spans="1:15">
      <c r="A40" s="49" t="s">
        <v>88</v>
      </c>
      <c r="B40" s="157">
        <f>SUM(E4:E38)</f>
        <v>84.860000000000028</v>
      </c>
      <c r="C40" s="158"/>
    </row>
    <row r="41" spans="1:15" ht="9.9499999999999993" customHeight="1"/>
    <row r="42" spans="1:15">
      <c r="A42" s="49" t="s">
        <v>196</v>
      </c>
      <c r="B42" s="159">
        <f>B40*(0.12*0.19)</f>
        <v>1.9348080000000007</v>
      </c>
      <c r="C42" s="160"/>
    </row>
    <row r="43" spans="1:15" ht="5.0999999999999996" customHeight="1">
      <c r="A43" s="51"/>
      <c r="B43" s="52"/>
      <c r="C43" s="52"/>
    </row>
    <row r="44" spans="1:15">
      <c r="A44" s="53" t="s">
        <v>197</v>
      </c>
    </row>
    <row r="45" spans="1:15" ht="15" customHeight="1">
      <c r="A45" s="53"/>
    </row>
    <row r="46" spans="1:15" hidden="1"/>
    <row r="47" spans="1:15" hidden="1"/>
    <row r="49" spans="1:3">
      <c r="A49" s="49" t="s">
        <v>199</v>
      </c>
      <c r="B49" s="159">
        <f>R10+B42</f>
        <v>2.2035630000000008</v>
      </c>
      <c r="C49" s="160"/>
    </row>
    <row r="50" spans="1:3" hidden="1">
      <c r="A50" s="5" t="s">
        <v>364</v>
      </c>
    </row>
  </sheetData>
  <mergeCells count="17">
    <mergeCell ref="A1:O1"/>
    <mergeCell ref="Q1:AE1"/>
    <mergeCell ref="Z2:AA2"/>
    <mergeCell ref="AB2:AC2"/>
    <mergeCell ref="AD2:AE2"/>
    <mergeCell ref="L2:M2"/>
    <mergeCell ref="N2:O2"/>
    <mergeCell ref="R8:S8"/>
    <mergeCell ref="R10:S10"/>
    <mergeCell ref="B49:C49"/>
    <mergeCell ref="V2:W2"/>
    <mergeCell ref="X2:Y2"/>
    <mergeCell ref="B40:C40"/>
    <mergeCell ref="F2:G2"/>
    <mergeCell ref="H2:I2"/>
    <mergeCell ref="J2:K2"/>
    <mergeCell ref="B42:C42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Plan8">
    <tabColor rgb="FF00FF00"/>
  </sheetPr>
  <dimension ref="A1:K8"/>
  <sheetViews>
    <sheetView zoomScale="85" zoomScaleNormal="85" workbookViewId="0">
      <selection activeCell="J17" sqref="J17"/>
    </sheetView>
  </sheetViews>
  <sheetFormatPr defaultRowHeight="15"/>
  <cols>
    <col min="1" max="1" width="35.7109375" style="5" customWidth="1"/>
    <col min="2" max="3" width="15.7109375" style="5" customWidth="1"/>
    <col min="4" max="4" width="9.140625" style="5"/>
    <col min="5" max="5" width="0" style="5" hidden="1" customWidth="1"/>
    <col min="6" max="6" width="15.7109375" style="5" customWidth="1"/>
    <col min="7" max="9" width="9.140625" style="5"/>
    <col min="10" max="10" width="15.7109375" style="5" customWidth="1"/>
    <col min="11" max="16384" width="9.140625" style="5"/>
  </cols>
  <sheetData>
    <row r="1" spans="1:11">
      <c r="A1" s="147" t="s">
        <v>356</v>
      </c>
      <c r="B1" s="147"/>
      <c r="C1" s="147"/>
    </row>
    <row r="2" spans="1:11" ht="15" customHeight="1">
      <c r="A2" s="1"/>
      <c r="B2" s="27" t="s">
        <v>87</v>
      </c>
      <c r="C2" s="27" t="s">
        <v>88</v>
      </c>
      <c r="D2" s="1"/>
      <c r="E2" s="1"/>
      <c r="F2" s="1"/>
      <c r="G2" s="1"/>
      <c r="H2" s="1"/>
      <c r="I2" s="1"/>
      <c r="J2" s="1"/>
      <c r="K2" s="1"/>
    </row>
    <row r="3" spans="1:11">
      <c r="A3" s="57" t="s">
        <v>209</v>
      </c>
      <c r="B3" s="36">
        <v>0</v>
      </c>
      <c r="C3" s="37"/>
      <c r="D3" s="1"/>
      <c r="E3" s="5" t="s">
        <v>366</v>
      </c>
      <c r="F3" s="1"/>
      <c r="G3" s="1"/>
      <c r="H3" s="1"/>
      <c r="I3" s="1"/>
      <c r="J3" s="1"/>
      <c r="K3" s="1"/>
    </row>
    <row r="4" spans="1:11">
      <c r="A4" s="8" t="s">
        <v>85</v>
      </c>
      <c r="B4" s="37"/>
      <c r="C4" s="29">
        <v>0</v>
      </c>
      <c r="D4" s="1"/>
      <c r="E4" s="5" t="s">
        <v>367</v>
      </c>
      <c r="F4" s="1"/>
      <c r="G4" s="1"/>
      <c r="H4" s="1"/>
      <c r="I4" s="1"/>
      <c r="J4" s="1"/>
      <c r="K4" s="1"/>
    </row>
    <row r="5" spans="1:11">
      <c r="A5" s="8" t="s">
        <v>86</v>
      </c>
      <c r="B5" s="37"/>
      <c r="C5" s="29">
        <v>0</v>
      </c>
      <c r="D5" s="1"/>
      <c r="E5" s="5" t="s">
        <v>368</v>
      </c>
      <c r="F5" s="1"/>
      <c r="G5" s="1"/>
      <c r="H5" s="1"/>
      <c r="I5" s="1"/>
      <c r="J5" s="1"/>
      <c r="K5" s="1"/>
    </row>
    <row r="6" spans="1:11">
      <c r="A6" s="57" t="s">
        <v>210</v>
      </c>
      <c r="B6" s="36">
        <v>34.43</v>
      </c>
      <c r="C6" s="37"/>
      <c r="D6" s="1"/>
      <c r="E6" s="5" t="s">
        <v>369</v>
      </c>
      <c r="F6" s="1"/>
      <c r="G6" s="1"/>
      <c r="H6" s="1"/>
      <c r="I6" s="1"/>
      <c r="J6" s="1"/>
      <c r="K6" s="1"/>
    </row>
    <row r="7" spans="1:11">
      <c r="A7" s="57" t="s">
        <v>211</v>
      </c>
      <c r="B7" s="36">
        <v>34.43</v>
      </c>
      <c r="C7" s="37"/>
      <c r="D7" s="1"/>
      <c r="E7" s="5" t="s">
        <v>370</v>
      </c>
      <c r="H7" s="1"/>
      <c r="I7" s="1"/>
    </row>
    <row r="8" spans="1:11">
      <c r="A8" s="8" t="s">
        <v>84</v>
      </c>
      <c r="B8" s="37"/>
      <c r="C8" s="29">
        <v>0</v>
      </c>
      <c r="D8" s="1"/>
      <c r="E8" s="5" t="s">
        <v>371</v>
      </c>
      <c r="F8" s="1"/>
      <c r="G8" s="1"/>
      <c r="H8" s="1"/>
      <c r="I8" s="1"/>
      <c r="J8" s="1"/>
      <c r="K8" s="1"/>
    </row>
  </sheetData>
  <mergeCells count="1">
    <mergeCell ref="A1:C1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Plan9">
    <tabColor rgb="FF00FF00"/>
  </sheetPr>
  <dimension ref="A1:AN69"/>
  <sheetViews>
    <sheetView zoomScale="85" zoomScaleNormal="85" workbookViewId="0">
      <selection activeCell="A69" sqref="A69:XFD69"/>
    </sheetView>
  </sheetViews>
  <sheetFormatPr defaultRowHeight="15"/>
  <cols>
    <col min="1" max="1" width="20.7109375" style="5" customWidth="1"/>
    <col min="2" max="5" width="10.7109375" style="5" customWidth="1"/>
    <col min="6" max="29" width="7.7109375" style="5" customWidth="1"/>
    <col min="30" max="32" width="10.7109375" style="5" customWidth="1"/>
    <col min="33" max="34" width="9.140625" style="5"/>
    <col min="35" max="35" width="15.7109375" style="5" customWidth="1"/>
    <col min="36" max="38" width="9.140625" style="5"/>
    <col min="39" max="39" width="15.7109375" style="5" customWidth="1"/>
    <col min="40" max="16384" width="9.140625" style="5"/>
  </cols>
  <sheetData>
    <row r="1" spans="1:40">
      <c r="A1" s="147" t="s">
        <v>357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40" s="3" customFormat="1">
      <c r="A2" s="12" t="s">
        <v>21</v>
      </c>
      <c r="F2" s="147" t="s">
        <v>6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40" s="3" customFormat="1">
      <c r="A3" s="48">
        <f>Memória!A2</f>
        <v>3.4</v>
      </c>
      <c r="F3" s="148" t="s">
        <v>9</v>
      </c>
      <c r="G3" s="149"/>
      <c r="H3" s="148" t="s">
        <v>12</v>
      </c>
      <c r="I3" s="149"/>
      <c r="J3" s="148" t="s">
        <v>13</v>
      </c>
      <c r="K3" s="149"/>
      <c r="L3" s="148" t="s">
        <v>14</v>
      </c>
      <c r="M3" s="149"/>
      <c r="N3" s="148" t="s">
        <v>15</v>
      </c>
      <c r="O3" s="149"/>
      <c r="P3" s="148" t="s">
        <v>16</v>
      </c>
      <c r="Q3" s="149"/>
      <c r="R3" s="148" t="s">
        <v>17</v>
      </c>
      <c r="S3" s="149"/>
      <c r="T3" s="147" t="s">
        <v>18</v>
      </c>
      <c r="U3" s="147"/>
      <c r="V3" s="147" t="s">
        <v>19</v>
      </c>
      <c r="W3" s="147"/>
      <c r="X3" s="147" t="s">
        <v>20</v>
      </c>
      <c r="Y3" s="147"/>
      <c r="Z3" s="147" t="s">
        <v>22</v>
      </c>
      <c r="AA3" s="147"/>
      <c r="AB3" s="147" t="s">
        <v>23</v>
      </c>
      <c r="AC3" s="147"/>
    </row>
    <row r="4" spans="1:40" ht="30" customHeight="1">
      <c r="A4" s="1"/>
      <c r="B4" s="10" t="s">
        <v>7</v>
      </c>
      <c r="C4" s="10" t="s">
        <v>8</v>
      </c>
      <c r="D4" s="11" t="s">
        <v>2</v>
      </c>
      <c r="E4" s="11" t="s">
        <v>3</v>
      </c>
      <c r="F4" s="2" t="s">
        <v>10</v>
      </c>
      <c r="G4" s="2" t="s">
        <v>11</v>
      </c>
      <c r="H4" s="2" t="s">
        <v>10</v>
      </c>
      <c r="I4" s="2" t="s">
        <v>11</v>
      </c>
      <c r="J4" s="2" t="s">
        <v>10</v>
      </c>
      <c r="K4" s="2" t="s">
        <v>11</v>
      </c>
      <c r="L4" s="2" t="s">
        <v>10</v>
      </c>
      <c r="M4" s="2" t="s">
        <v>11</v>
      </c>
      <c r="N4" s="2" t="s">
        <v>10</v>
      </c>
      <c r="O4" s="2" t="s">
        <v>11</v>
      </c>
      <c r="P4" s="2" t="s">
        <v>10</v>
      </c>
      <c r="Q4" s="2" t="s">
        <v>11</v>
      </c>
      <c r="R4" s="2" t="s">
        <v>10</v>
      </c>
      <c r="S4" s="2" t="s">
        <v>11</v>
      </c>
      <c r="T4" s="2" t="s">
        <v>10</v>
      </c>
      <c r="U4" s="2" t="s">
        <v>11</v>
      </c>
      <c r="V4" s="2" t="s">
        <v>10</v>
      </c>
      <c r="W4" s="2" t="s">
        <v>11</v>
      </c>
      <c r="X4" s="2" t="s">
        <v>10</v>
      </c>
      <c r="Y4" s="2" t="s">
        <v>11</v>
      </c>
      <c r="Z4" s="2" t="s">
        <v>10</v>
      </c>
      <c r="AA4" s="2" t="s">
        <v>11</v>
      </c>
      <c r="AB4" s="2" t="s">
        <v>10</v>
      </c>
      <c r="AC4" s="2" t="s">
        <v>11</v>
      </c>
      <c r="AG4" s="1"/>
      <c r="AH4" s="1"/>
      <c r="AI4" s="1"/>
      <c r="AJ4" s="1"/>
      <c r="AK4" s="1"/>
      <c r="AL4" s="1"/>
      <c r="AM4" s="1"/>
      <c r="AN4" s="1"/>
    </row>
    <row r="5" spans="1:40">
      <c r="A5" s="54" t="s">
        <v>111</v>
      </c>
      <c r="B5" s="9"/>
      <c r="C5" s="9"/>
      <c r="D5" s="6">
        <v>32.799999999999997</v>
      </c>
      <c r="E5" s="4">
        <f>(D5*$A$3)-((F5*G5)+(H5*I5)+(J5*K5)+(L5*M5)+(N5*O5)+(P5*Q5)+(R5*S5)+(T5*U5)+(V5*W5)+(X5*Y5)+(Z5*AA5)+(AB5*AC5))</f>
        <v>96.609999999999985</v>
      </c>
      <c r="F5" s="75">
        <v>11.55</v>
      </c>
      <c r="G5" s="76">
        <v>1</v>
      </c>
      <c r="H5" s="77"/>
      <c r="I5" s="78"/>
      <c r="J5" s="77"/>
      <c r="K5" s="78"/>
      <c r="L5" s="77"/>
      <c r="M5" s="78"/>
      <c r="N5" s="75">
        <v>0.8</v>
      </c>
      <c r="O5" s="76">
        <v>2.1</v>
      </c>
      <c r="P5" s="75">
        <v>0.8</v>
      </c>
      <c r="Q5" s="76">
        <v>2.1</v>
      </c>
      <c r="R5" s="77"/>
      <c r="S5" s="78"/>
      <c r="T5" s="77"/>
      <c r="U5" s="78"/>
      <c r="V5" s="77"/>
      <c r="W5" s="78"/>
      <c r="X5" s="77"/>
      <c r="Y5" s="78"/>
      <c r="Z5" s="77"/>
      <c r="AA5" s="78"/>
      <c r="AB5" s="77"/>
      <c r="AC5" s="78"/>
      <c r="AG5" s="1"/>
      <c r="AH5" s="1"/>
      <c r="AI5" s="1"/>
      <c r="AJ5" s="1"/>
      <c r="AK5" s="1"/>
      <c r="AL5" s="1"/>
      <c r="AM5" s="1"/>
      <c r="AN5" s="1"/>
    </row>
    <row r="6" spans="1:40">
      <c r="A6" s="54" t="s">
        <v>112</v>
      </c>
      <c r="B6" s="6">
        <v>2</v>
      </c>
      <c r="C6" s="6">
        <v>2</v>
      </c>
      <c r="D6" s="6">
        <f t="shared" ref="D6:D63" si="0">2*(B6+C6)</f>
        <v>8</v>
      </c>
      <c r="E6" s="4">
        <f t="shared" ref="E6:E63" si="1">(D6*$A$3)-((F6*G6)+(H6*I6)+(J6*K6)+(L6*M6)+(N6*O6)+(P6*Q6)+(R6*S6)+(T6*U6)+(V6*W6)+(X6*Y6)+(Z6*AA6)+(AB6*AC6))</f>
        <v>25.52</v>
      </c>
      <c r="F6" s="77"/>
      <c r="G6" s="78"/>
      <c r="H6" s="77"/>
      <c r="I6" s="78"/>
      <c r="J6" s="77"/>
      <c r="K6" s="78"/>
      <c r="L6" s="77"/>
      <c r="M6" s="78"/>
      <c r="N6" s="75">
        <v>0.8</v>
      </c>
      <c r="O6" s="76">
        <v>2.1</v>
      </c>
      <c r="P6" s="77"/>
      <c r="Q6" s="78"/>
      <c r="R6" s="77"/>
      <c r="S6" s="78"/>
      <c r="T6" s="77"/>
      <c r="U6" s="78"/>
      <c r="V6" s="77"/>
      <c r="W6" s="78"/>
      <c r="X6" s="77"/>
      <c r="Y6" s="78"/>
      <c r="Z6" s="77"/>
      <c r="AA6" s="78"/>
      <c r="AB6" s="77"/>
      <c r="AC6" s="78"/>
      <c r="AG6" s="1"/>
      <c r="AH6" s="1"/>
      <c r="AK6" s="1"/>
      <c r="AL6" s="1"/>
    </row>
    <row r="7" spans="1:40">
      <c r="A7" s="54" t="s">
        <v>5</v>
      </c>
      <c r="B7" s="6">
        <v>2</v>
      </c>
      <c r="C7" s="6">
        <v>1.42</v>
      </c>
      <c r="D7" s="6">
        <f t="shared" si="0"/>
        <v>6.84</v>
      </c>
      <c r="E7" s="4">
        <f t="shared" si="1"/>
        <v>21.576000000000001</v>
      </c>
      <c r="F7" s="77"/>
      <c r="G7" s="78"/>
      <c r="H7" s="77"/>
      <c r="I7" s="78"/>
      <c r="J7" s="77"/>
      <c r="K7" s="78"/>
      <c r="L7" s="77"/>
      <c r="M7" s="78"/>
      <c r="N7" s="75">
        <v>0.8</v>
      </c>
      <c r="O7" s="76">
        <v>2.1</v>
      </c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78"/>
      <c r="AB7" s="77"/>
      <c r="AC7" s="78"/>
      <c r="AG7" s="1"/>
      <c r="AH7" s="1"/>
      <c r="AI7" s="1"/>
      <c r="AJ7" s="1"/>
      <c r="AK7" s="1"/>
      <c r="AL7" s="1"/>
      <c r="AM7" s="1"/>
      <c r="AN7" s="1"/>
    </row>
    <row r="8" spans="1:40">
      <c r="A8" s="54" t="s">
        <v>113</v>
      </c>
      <c r="B8" s="6">
        <v>2</v>
      </c>
      <c r="C8" s="6">
        <v>1.6</v>
      </c>
      <c r="D8" s="6">
        <f t="shared" si="0"/>
        <v>7.2</v>
      </c>
      <c r="E8" s="4">
        <f t="shared" si="1"/>
        <v>22.8</v>
      </c>
      <c r="F8" s="77"/>
      <c r="G8" s="78"/>
      <c r="H8" s="77"/>
      <c r="I8" s="78"/>
      <c r="J8" s="77"/>
      <c r="K8" s="78"/>
      <c r="L8" s="77"/>
      <c r="M8" s="78"/>
      <c r="N8" s="75">
        <v>0.8</v>
      </c>
      <c r="O8" s="76">
        <v>2.1</v>
      </c>
      <c r="P8" s="77"/>
      <c r="Q8" s="78"/>
      <c r="R8" s="77"/>
      <c r="S8" s="78"/>
      <c r="T8" s="77"/>
      <c r="U8" s="78"/>
      <c r="V8" s="77"/>
      <c r="W8" s="78"/>
      <c r="X8" s="77"/>
      <c r="Y8" s="78"/>
      <c r="Z8" s="77"/>
      <c r="AA8" s="78"/>
      <c r="AB8" s="77"/>
      <c r="AC8" s="78"/>
      <c r="AG8" s="1"/>
      <c r="AH8" s="1"/>
      <c r="AI8" s="1"/>
      <c r="AJ8" s="1"/>
      <c r="AK8" s="1"/>
      <c r="AL8" s="1"/>
      <c r="AM8" s="1"/>
      <c r="AN8" s="1"/>
    </row>
    <row r="9" spans="1:40">
      <c r="A9" s="54" t="s">
        <v>114</v>
      </c>
      <c r="B9" s="6">
        <v>2</v>
      </c>
      <c r="C9" s="6">
        <v>2</v>
      </c>
      <c r="D9" s="6">
        <f t="shared" si="0"/>
        <v>8</v>
      </c>
      <c r="E9" s="4">
        <f t="shared" si="1"/>
        <v>25.52</v>
      </c>
      <c r="F9" s="77"/>
      <c r="G9" s="78"/>
      <c r="H9" s="77"/>
      <c r="I9" s="78"/>
      <c r="J9" s="77"/>
      <c r="K9" s="78"/>
      <c r="L9" s="77"/>
      <c r="M9" s="78"/>
      <c r="N9" s="75">
        <v>0.8</v>
      </c>
      <c r="O9" s="76">
        <v>2.1</v>
      </c>
      <c r="P9" s="77"/>
      <c r="Q9" s="78"/>
      <c r="R9" s="77"/>
      <c r="S9" s="78"/>
      <c r="T9" s="77"/>
      <c r="U9" s="78"/>
      <c r="V9" s="77"/>
      <c r="W9" s="78"/>
      <c r="X9" s="77"/>
      <c r="Y9" s="78"/>
      <c r="Z9" s="77"/>
      <c r="AA9" s="78"/>
      <c r="AB9" s="77"/>
      <c r="AC9" s="78"/>
      <c r="AG9" s="1"/>
      <c r="AH9" s="1"/>
      <c r="AI9" s="1"/>
      <c r="AJ9" s="1"/>
      <c r="AK9" s="1"/>
      <c r="AL9" s="1"/>
      <c r="AM9" s="1"/>
      <c r="AN9" s="1"/>
    </row>
    <row r="10" spans="1:40">
      <c r="A10" s="54" t="s">
        <v>141</v>
      </c>
      <c r="B10" s="6">
        <v>7.05</v>
      </c>
      <c r="C10" s="6">
        <v>5.32</v>
      </c>
      <c r="D10" s="6">
        <f t="shared" si="0"/>
        <v>24.740000000000002</v>
      </c>
      <c r="E10" s="4">
        <f t="shared" si="1"/>
        <v>80.435999999999993</v>
      </c>
      <c r="F10" s="75">
        <v>2</v>
      </c>
      <c r="G10" s="76">
        <v>1</v>
      </c>
      <c r="H10" s="77"/>
      <c r="I10" s="78"/>
      <c r="J10" s="77"/>
      <c r="K10" s="78"/>
      <c r="L10" s="77"/>
      <c r="M10" s="78"/>
      <c r="N10" s="75">
        <v>0.8</v>
      </c>
      <c r="O10" s="76">
        <v>2.1</v>
      </c>
      <c r="P10" s="77"/>
      <c r="Q10" s="78"/>
      <c r="R10" s="77"/>
      <c r="S10" s="78"/>
      <c r="T10" s="77"/>
      <c r="U10" s="78"/>
      <c r="V10" s="77"/>
      <c r="W10" s="78"/>
      <c r="X10" s="77"/>
      <c r="Y10" s="78"/>
      <c r="Z10" s="77"/>
      <c r="AA10" s="78"/>
      <c r="AB10" s="77"/>
      <c r="AC10" s="78"/>
      <c r="AG10" s="1"/>
      <c r="AH10" s="1"/>
      <c r="AI10" s="1"/>
      <c r="AJ10" s="1"/>
      <c r="AK10" s="1"/>
      <c r="AL10" s="1"/>
      <c r="AM10" s="1"/>
      <c r="AN10" s="1"/>
    </row>
    <row r="11" spans="1:40">
      <c r="A11" s="54" t="s">
        <v>142</v>
      </c>
      <c r="B11" s="6">
        <v>4.5</v>
      </c>
      <c r="C11" s="6">
        <v>3.3</v>
      </c>
      <c r="D11" s="6">
        <f t="shared" si="0"/>
        <v>15.6</v>
      </c>
      <c r="E11" s="4">
        <f t="shared" si="1"/>
        <v>46.96</v>
      </c>
      <c r="F11" s="75">
        <v>2</v>
      </c>
      <c r="G11" s="76">
        <v>1</v>
      </c>
      <c r="H11" s="77"/>
      <c r="I11" s="78"/>
      <c r="J11" s="77"/>
      <c r="K11" s="78"/>
      <c r="L11" s="77"/>
      <c r="M11" s="78"/>
      <c r="N11" s="75">
        <v>0.8</v>
      </c>
      <c r="O11" s="76">
        <v>2.1</v>
      </c>
      <c r="P11" s="75">
        <v>0.8</v>
      </c>
      <c r="Q11" s="76">
        <v>2.1</v>
      </c>
      <c r="R11" s="77"/>
      <c r="S11" s="78"/>
      <c r="T11" s="77"/>
      <c r="U11" s="78"/>
      <c r="V11" s="77"/>
      <c r="W11" s="78"/>
      <c r="X11" s="77"/>
      <c r="Y11" s="78"/>
      <c r="Z11" s="75">
        <v>1.2</v>
      </c>
      <c r="AA11" s="76">
        <v>0.6</v>
      </c>
      <c r="AB11" s="77"/>
      <c r="AC11" s="78"/>
      <c r="AG11" s="1"/>
      <c r="AH11" s="1"/>
      <c r="AI11" s="1"/>
      <c r="AJ11" s="1"/>
      <c r="AK11" s="1"/>
      <c r="AL11" s="1"/>
      <c r="AM11" s="1"/>
      <c r="AN11" s="1"/>
    </row>
    <row r="12" spans="1:40">
      <c r="A12" s="54" t="s">
        <v>115</v>
      </c>
      <c r="B12" s="6">
        <v>4.55</v>
      </c>
      <c r="C12" s="6">
        <v>3.3</v>
      </c>
      <c r="D12" s="6">
        <f t="shared" si="0"/>
        <v>15.7</v>
      </c>
      <c r="E12" s="4">
        <f t="shared" si="1"/>
        <v>51.699999999999996</v>
      </c>
      <c r="F12" s="77"/>
      <c r="G12" s="78"/>
      <c r="H12" s="77"/>
      <c r="I12" s="78"/>
      <c r="J12" s="77"/>
      <c r="K12" s="78"/>
      <c r="L12" s="77"/>
      <c r="M12" s="78"/>
      <c r="N12" s="75">
        <v>0.8</v>
      </c>
      <c r="O12" s="76">
        <v>2.1</v>
      </c>
      <c r="P12" s="77"/>
      <c r="Q12" s="78"/>
      <c r="R12" s="77"/>
      <c r="S12" s="78"/>
      <c r="T12" s="77"/>
      <c r="U12" s="78"/>
      <c r="V12" s="77"/>
      <c r="W12" s="78"/>
      <c r="X12" s="77"/>
      <c r="Y12" s="78"/>
      <c r="Z12" s="77"/>
      <c r="AA12" s="78"/>
      <c r="AB12" s="77"/>
      <c r="AC12" s="78"/>
      <c r="AG12" s="1"/>
      <c r="AH12" s="1"/>
      <c r="AI12" s="1"/>
      <c r="AJ12" s="1"/>
      <c r="AK12" s="1"/>
      <c r="AL12" s="1"/>
      <c r="AM12" s="1"/>
      <c r="AN12" s="1"/>
    </row>
    <row r="13" spans="1:40">
      <c r="A13" s="54" t="s">
        <v>116</v>
      </c>
      <c r="B13" s="6">
        <v>3.9</v>
      </c>
      <c r="C13" s="6">
        <v>2.95</v>
      </c>
      <c r="D13" s="6">
        <f t="shared" si="0"/>
        <v>13.7</v>
      </c>
      <c r="E13" s="4">
        <f t="shared" si="1"/>
        <v>44.269999999999996</v>
      </c>
      <c r="F13" s="77"/>
      <c r="G13" s="78"/>
      <c r="H13" s="77"/>
      <c r="I13" s="78"/>
      <c r="J13" s="77"/>
      <c r="K13" s="78"/>
      <c r="L13" s="77"/>
      <c r="M13" s="78"/>
      <c r="N13" s="75">
        <v>1.1000000000000001</v>
      </c>
      <c r="O13" s="76">
        <v>2.1</v>
      </c>
      <c r="P13" s="77"/>
      <c r="Q13" s="78"/>
      <c r="R13" s="77"/>
      <c r="S13" s="78"/>
      <c r="T13" s="77"/>
      <c r="U13" s="78"/>
      <c r="V13" s="77"/>
      <c r="W13" s="78"/>
      <c r="X13" s="77"/>
      <c r="Y13" s="78"/>
      <c r="Z13" s="77"/>
      <c r="AA13" s="78"/>
      <c r="AB13" s="77"/>
      <c r="AC13" s="78"/>
      <c r="AG13" s="1"/>
      <c r="AH13" s="1"/>
      <c r="AI13" s="1"/>
      <c r="AJ13" s="1"/>
      <c r="AK13" s="1"/>
      <c r="AL13" s="1"/>
      <c r="AM13" s="1"/>
      <c r="AN13" s="1"/>
    </row>
    <row r="14" spans="1:40">
      <c r="A14" s="54" t="s">
        <v>117</v>
      </c>
      <c r="B14" s="6">
        <v>4</v>
      </c>
      <c r="C14" s="6">
        <v>3.55</v>
      </c>
      <c r="D14" s="6">
        <f t="shared" si="0"/>
        <v>15.1</v>
      </c>
      <c r="E14" s="4">
        <f t="shared" si="1"/>
        <v>47.139999999999993</v>
      </c>
      <c r="F14" s="77"/>
      <c r="G14" s="78"/>
      <c r="H14" s="77"/>
      <c r="I14" s="78"/>
      <c r="J14" s="77"/>
      <c r="K14" s="78"/>
      <c r="L14" s="77"/>
      <c r="M14" s="78"/>
      <c r="N14" s="75">
        <v>1.2</v>
      </c>
      <c r="O14" s="76">
        <v>2.1</v>
      </c>
      <c r="P14" s="75">
        <v>0.8</v>
      </c>
      <c r="Q14" s="76">
        <v>2.1</v>
      </c>
      <c r="R14" s="77"/>
      <c r="S14" s="78"/>
      <c r="T14" s="77"/>
      <c r="U14" s="78"/>
      <c r="V14" s="77"/>
      <c r="W14" s="78"/>
      <c r="X14" s="77"/>
      <c r="Y14" s="78"/>
      <c r="Z14" s="77"/>
      <c r="AA14" s="78"/>
      <c r="AB14" s="77"/>
      <c r="AC14" s="78"/>
      <c r="AG14" s="1"/>
      <c r="AH14" s="1"/>
      <c r="AI14" s="1"/>
      <c r="AJ14" s="1"/>
      <c r="AK14" s="1"/>
      <c r="AL14" s="1"/>
      <c r="AM14" s="1"/>
      <c r="AN14" s="1"/>
    </row>
    <row r="15" spans="1:40">
      <c r="A15" s="54" t="s">
        <v>120</v>
      </c>
      <c r="B15" s="6">
        <v>1.8</v>
      </c>
      <c r="C15" s="6">
        <v>2.95</v>
      </c>
      <c r="D15" s="6">
        <f t="shared" si="0"/>
        <v>9.5</v>
      </c>
      <c r="E15" s="4">
        <f t="shared" si="1"/>
        <v>30.619999999999997</v>
      </c>
      <c r="F15" s="77"/>
      <c r="G15" s="78"/>
      <c r="H15" s="77"/>
      <c r="I15" s="78"/>
      <c r="J15" s="77"/>
      <c r="K15" s="78"/>
      <c r="L15" s="77"/>
      <c r="M15" s="78"/>
      <c r="N15" s="75">
        <v>0.8</v>
      </c>
      <c r="O15" s="76">
        <v>2.1</v>
      </c>
      <c r="P15" s="77"/>
      <c r="Q15" s="78"/>
      <c r="R15" s="77"/>
      <c r="S15" s="78"/>
      <c r="T15" s="77"/>
      <c r="U15" s="78"/>
      <c r="V15" s="77"/>
      <c r="W15" s="78"/>
      <c r="X15" s="77"/>
      <c r="Y15" s="78"/>
      <c r="Z15" s="77"/>
      <c r="AA15" s="78"/>
      <c r="AB15" s="77"/>
      <c r="AC15" s="78"/>
      <c r="AG15" s="1"/>
      <c r="AH15" s="1"/>
      <c r="AI15" s="1"/>
      <c r="AJ15" s="1"/>
      <c r="AK15" s="1"/>
      <c r="AL15" s="1"/>
      <c r="AM15" s="1"/>
      <c r="AN15" s="1"/>
    </row>
    <row r="16" spans="1:40">
      <c r="A16" s="54" t="s">
        <v>121</v>
      </c>
      <c r="B16" s="6">
        <v>2.0499999999999998</v>
      </c>
      <c r="C16" s="6">
        <v>2.95</v>
      </c>
      <c r="D16" s="6">
        <f t="shared" si="0"/>
        <v>10</v>
      </c>
      <c r="E16" s="4">
        <f t="shared" si="1"/>
        <v>32.32</v>
      </c>
      <c r="F16" s="77"/>
      <c r="G16" s="78"/>
      <c r="H16" s="77"/>
      <c r="I16" s="78"/>
      <c r="J16" s="77"/>
      <c r="K16" s="78"/>
      <c r="L16" s="77"/>
      <c r="M16" s="78"/>
      <c r="N16" s="75">
        <v>0.8</v>
      </c>
      <c r="O16" s="76">
        <v>2.1</v>
      </c>
      <c r="P16" s="77"/>
      <c r="Q16" s="78"/>
      <c r="R16" s="77"/>
      <c r="S16" s="78"/>
      <c r="T16" s="77"/>
      <c r="U16" s="78"/>
      <c r="V16" s="77"/>
      <c r="W16" s="78"/>
      <c r="X16" s="77"/>
      <c r="Y16" s="78"/>
      <c r="Z16" s="77"/>
      <c r="AA16" s="78"/>
      <c r="AB16" s="77"/>
      <c r="AC16" s="78"/>
      <c r="AG16" s="1"/>
      <c r="AH16" s="1"/>
      <c r="AI16" s="1"/>
      <c r="AJ16" s="1"/>
      <c r="AK16" s="1"/>
      <c r="AL16" s="1"/>
      <c r="AM16" s="1"/>
      <c r="AN16" s="1"/>
    </row>
    <row r="17" spans="1:40">
      <c r="A17" s="54" t="s">
        <v>118</v>
      </c>
      <c r="B17" s="6">
        <v>3.35</v>
      </c>
      <c r="C17" s="6">
        <v>2.2349999999999999</v>
      </c>
      <c r="D17" s="6">
        <f t="shared" si="0"/>
        <v>11.17</v>
      </c>
      <c r="E17" s="4">
        <f t="shared" si="1"/>
        <v>36.088000000000001</v>
      </c>
      <c r="F17" s="77"/>
      <c r="G17" s="78"/>
      <c r="H17" s="77"/>
      <c r="I17" s="78"/>
      <c r="J17" s="77"/>
      <c r="K17" s="78"/>
      <c r="L17" s="77"/>
      <c r="M17" s="78"/>
      <c r="N17" s="75">
        <v>0.9</v>
      </c>
      <c r="O17" s="76">
        <v>2.1</v>
      </c>
      <c r="P17" s="77"/>
      <c r="Q17" s="78"/>
      <c r="R17" s="77"/>
      <c r="S17" s="78"/>
      <c r="T17" s="77"/>
      <c r="U17" s="78"/>
      <c r="V17" s="77"/>
      <c r="W17" s="78"/>
      <c r="X17" s="77"/>
      <c r="Y17" s="78"/>
      <c r="Z17" s="77"/>
      <c r="AA17" s="78"/>
      <c r="AB17" s="77"/>
      <c r="AC17" s="78"/>
      <c r="AG17" s="1"/>
      <c r="AH17" s="1"/>
      <c r="AI17" s="1"/>
      <c r="AJ17" s="1"/>
      <c r="AK17" s="1"/>
      <c r="AL17" s="1"/>
      <c r="AM17" s="1"/>
      <c r="AN17" s="1"/>
    </row>
    <row r="18" spans="1:40">
      <c r="A18" s="54" t="s">
        <v>119</v>
      </c>
      <c r="B18" s="6">
        <v>3.35</v>
      </c>
      <c r="C18" s="6">
        <v>2.2349999999999999</v>
      </c>
      <c r="D18" s="6">
        <f t="shared" si="0"/>
        <v>11.17</v>
      </c>
      <c r="E18" s="4">
        <f t="shared" si="1"/>
        <v>36.088000000000001</v>
      </c>
      <c r="F18" s="77"/>
      <c r="G18" s="78"/>
      <c r="H18" s="77"/>
      <c r="I18" s="78"/>
      <c r="J18" s="77"/>
      <c r="K18" s="78"/>
      <c r="L18" s="77"/>
      <c r="M18" s="78"/>
      <c r="N18" s="75">
        <v>0.9</v>
      </c>
      <c r="O18" s="76">
        <v>2.1</v>
      </c>
      <c r="P18" s="77"/>
      <c r="Q18" s="78"/>
      <c r="R18" s="77"/>
      <c r="S18" s="78"/>
      <c r="T18" s="77"/>
      <c r="U18" s="78"/>
      <c r="V18" s="77"/>
      <c r="W18" s="78"/>
      <c r="X18" s="77"/>
      <c r="Y18" s="78"/>
      <c r="Z18" s="77"/>
      <c r="AA18" s="78"/>
      <c r="AB18" s="77"/>
      <c r="AC18" s="78"/>
      <c r="AG18" s="1"/>
      <c r="AH18" s="1"/>
      <c r="AI18" s="1"/>
      <c r="AJ18" s="1"/>
      <c r="AK18" s="1"/>
      <c r="AL18" s="1"/>
      <c r="AM18" s="1"/>
      <c r="AN18" s="1"/>
    </row>
    <row r="19" spans="1:40">
      <c r="A19" s="54" t="s">
        <v>122</v>
      </c>
      <c r="B19" s="6">
        <v>0.4</v>
      </c>
      <c r="C19" s="6">
        <v>3.55</v>
      </c>
      <c r="D19" s="6">
        <f t="shared" si="0"/>
        <v>7.8999999999999995</v>
      </c>
      <c r="E19" s="4">
        <f t="shared" si="1"/>
        <v>26.859999999999996</v>
      </c>
      <c r="F19" s="77"/>
      <c r="G19" s="78"/>
      <c r="H19" s="77"/>
      <c r="I19" s="78"/>
      <c r="J19" s="77"/>
      <c r="K19" s="78"/>
      <c r="L19" s="77"/>
      <c r="M19" s="78"/>
      <c r="N19" s="77"/>
      <c r="O19" s="78"/>
      <c r="P19" s="77"/>
      <c r="Q19" s="78"/>
      <c r="R19" s="77"/>
      <c r="S19" s="78"/>
      <c r="T19" s="77"/>
      <c r="U19" s="78"/>
      <c r="V19" s="77"/>
      <c r="W19" s="78"/>
      <c r="X19" s="77"/>
      <c r="Y19" s="78"/>
      <c r="Z19" s="77"/>
      <c r="AA19" s="78"/>
      <c r="AB19" s="77"/>
      <c r="AC19" s="78"/>
      <c r="AG19" s="1"/>
      <c r="AH19" s="1"/>
      <c r="AI19" s="1"/>
      <c r="AJ19" s="1"/>
      <c r="AK19" s="1"/>
      <c r="AL19" s="1"/>
      <c r="AM19" s="1"/>
      <c r="AN19" s="1"/>
    </row>
    <row r="20" spans="1:40">
      <c r="A20" s="54" t="s">
        <v>123</v>
      </c>
      <c r="B20" s="6">
        <v>3.35</v>
      </c>
      <c r="C20" s="6">
        <v>2.95</v>
      </c>
      <c r="D20" s="6">
        <f t="shared" si="0"/>
        <v>12.600000000000001</v>
      </c>
      <c r="E20" s="4">
        <f t="shared" si="1"/>
        <v>37.81</v>
      </c>
      <c r="F20" s="75">
        <v>3.35</v>
      </c>
      <c r="G20" s="76">
        <v>1</v>
      </c>
      <c r="H20" s="77"/>
      <c r="I20" s="78"/>
      <c r="J20" s="77"/>
      <c r="K20" s="78"/>
      <c r="L20" s="77"/>
      <c r="M20" s="78"/>
      <c r="N20" s="75">
        <v>0.8</v>
      </c>
      <c r="O20" s="76">
        <v>2.1</v>
      </c>
      <c r="P20" s="77"/>
      <c r="Q20" s="78"/>
      <c r="R20" s="77"/>
      <c r="S20" s="78"/>
      <c r="T20" s="77"/>
      <c r="U20" s="78"/>
      <c r="V20" s="77"/>
      <c r="W20" s="78"/>
      <c r="X20" s="77"/>
      <c r="Y20" s="78"/>
      <c r="Z20" s="77"/>
      <c r="AA20" s="78"/>
      <c r="AB20" s="77"/>
      <c r="AC20" s="78"/>
      <c r="AG20" s="1"/>
      <c r="AH20" s="1"/>
      <c r="AI20" s="1"/>
      <c r="AJ20" s="1"/>
      <c r="AK20" s="1"/>
      <c r="AL20" s="1"/>
      <c r="AM20" s="1"/>
      <c r="AN20" s="1"/>
    </row>
    <row r="21" spans="1:40">
      <c r="A21" s="54" t="s">
        <v>108</v>
      </c>
      <c r="B21" s="6">
        <v>1.65</v>
      </c>
      <c r="C21" s="6">
        <v>1.89</v>
      </c>
      <c r="D21" s="6">
        <f t="shared" si="0"/>
        <v>7.08</v>
      </c>
      <c r="E21" s="4">
        <f t="shared" si="1"/>
        <v>20.963999999999999</v>
      </c>
      <c r="F21" s="77"/>
      <c r="G21" s="78"/>
      <c r="H21" s="77"/>
      <c r="I21" s="78"/>
      <c r="J21" s="77"/>
      <c r="K21" s="78"/>
      <c r="L21" s="77"/>
      <c r="M21" s="78"/>
      <c r="N21" s="75">
        <v>1.48</v>
      </c>
      <c r="O21" s="76">
        <v>2.1</v>
      </c>
      <c r="P21" s="77"/>
      <c r="Q21" s="78"/>
      <c r="R21" s="77"/>
      <c r="S21" s="78"/>
      <c r="T21" s="77"/>
      <c r="U21" s="78"/>
      <c r="V21" s="77"/>
      <c r="W21" s="78"/>
      <c r="X21" s="77"/>
      <c r="Y21" s="78"/>
      <c r="Z21" s="77"/>
      <c r="AA21" s="78"/>
      <c r="AB21" s="77"/>
      <c r="AC21" s="78"/>
      <c r="AG21" s="1"/>
      <c r="AH21" s="1"/>
      <c r="AI21" s="1"/>
      <c r="AJ21" s="1"/>
      <c r="AK21" s="1"/>
      <c r="AL21" s="1"/>
      <c r="AM21" s="1"/>
      <c r="AN21" s="1"/>
    </row>
    <row r="22" spans="1:40">
      <c r="A22" s="54" t="s">
        <v>109</v>
      </c>
      <c r="B22" s="6">
        <v>1.65</v>
      </c>
      <c r="C22" s="6">
        <v>1.93</v>
      </c>
      <c r="D22" s="6">
        <f t="shared" si="0"/>
        <v>7.16</v>
      </c>
      <c r="E22" s="4">
        <f t="shared" si="1"/>
        <v>21.236000000000001</v>
      </c>
      <c r="F22" s="77"/>
      <c r="G22" s="78"/>
      <c r="H22" s="77"/>
      <c r="I22" s="78"/>
      <c r="J22" s="77"/>
      <c r="K22" s="78"/>
      <c r="L22" s="77"/>
      <c r="M22" s="78"/>
      <c r="N22" s="75">
        <v>1.48</v>
      </c>
      <c r="O22" s="76">
        <v>2.1</v>
      </c>
      <c r="P22" s="77"/>
      <c r="Q22" s="78"/>
      <c r="R22" s="77"/>
      <c r="S22" s="78"/>
      <c r="T22" s="77"/>
      <c r="U22" s="78"/>
      <c r="V22" s="77"/>
      <c r="W22" s="78"/>
      <c r="X22" s="77"/>
      <c r="Y22" s="78"/>
      <c r="Z22" s="77"/>
      <c r="AA22" s="78"/>
      <c r="AB22" s="77"/>
      <c r="AC22" s="78"/>
      <c r="AG22" s="1"/>
      <c r="AH22" s="1"/>
      <c r="AI22" s="1"/>
      <c r="AJ22" s="1"/>
      <c r="AK22" s="1"/>
      <c r="AL22" s="1"/>
      <c r="AM22" s="1"/>
      <c r="AN22" s="1"/>
    </row>
    <row r="23" spans="1:40">
      <c r="A23" s="54" t="s">
        <v>124</v>
      </c>
      <c r="B23" s="6">
        <v>5.0999999999999996</v>
      </c>
      <c r="C23" s="6">
        <v>4.0199999999999996</v>
      </c>
      <c r="D23" s="6">
        <f t="shared" si="0"/>
        <v>18.239999999999998</v>
      </c>
      <c r="E23" s="4">
        <f t="shared" si="1"/>
        <v>44.609999999999985</v>
      </c>
      <c r="F23" s="75">
        <v>5.0999999999999996</v>
      </c>
      <c r="G23" s="76">
        <v>1</v>
      </c>
      <c r="H23" s="77"/>
      <c r="I23" s="78"/>
      <c r="J23" s="77"/>
      <c r="K23" s="78"/>
      <c r="L23" s="77"/>
      <c r="M23" s="78"/>
      <c r="N23" s="75">
        <v>1.48</v>
      </c>
      <c r="O23" s="76">
        <v>2.1</v>
      </c>
      <c r="P23" s="75">
        <v>1.48</v>
      </c>
      <c r="Q23" s="76">
        <v>2.1</v>
      </c>
      <c r="R23" s="75">
        <v>2.1</v>
      </c>
      <c r="S23" s="76">
        <v>2.1</v>
      </c>
      <c r="T23" s="75">
        <v>0.8</v>
      </c>
      <c r="U23" s="76">
        <v>2.1</v>
      </c>
      <c r="V23" s="77"/>
      <c r="W23" s="78"/>
      <c r="X23" s="77"/>
      <c r="Y23" s="78"/>
      <c r="Z23" s="77"/>
      <c r="AA23" s="78"/>
      <c r="AB23" s="77"/>
      <c r="AC23" s="78"/>
      <c r="AG23" s="1"/>
      <c r="AH23" s="1"/>
      <c r="AI23" s="1"/>
      <c r="AJ23" s="1"/>
      <c r="AK23" s="1"/>
      <c r="AL23" s="1"/>
      <c r="AM23" s="1"/>
      <c r="AN23" s="1"/>
    </row>
    <row r="24" spans="1:40">
      <c r="A24" s="54" t="s">
        <v>125</v>
      </c>
      <c r="B24" s="6">
        <v>2.5</v>
      </c>
      <c r="C24" s="6">
        <v>4.42</v>
      </c>
      <c r="D24" s="6">
        <f t="shared" si="0"/>
        <v>13.84</v>
      </c>
      <c r="E24" s="4">
        <f t="shared" si="1"/>
        <v>45.375999999999998</v>
      </c>
      <c r="F24" s="77"/>
      <c r="G24" s="78"/>
      <c r="H24" s="77"/>
      <c r="I24" s="78"/>
      <c r="J24" s="77"/>
      <c r="K24" s="78"/>
      <c r="L24" s="77"/>
      <c r="M24" s="78"/>
      <c r="N24" s="75">
        <v>0.8</v>
      </c>
      <c r="O24" s="76">
        <v>2.1</v>
      </c>
      <c r="P24" s="77"/>
      <c r="Q24" s="78"/>
      <c r="R24" s="77"/>
      <c r="S24" s="78"/>
      <c r="T24" s="77"/>
      <c r="U24" s="78"/>
      <c r="V24" s="77"/>
      <c r="W24" s="78"/>
      <c r="X24" s="77"/>
      <c r="Y24" s="78"/>
      <c r="Z24" s="77"/>
      <c r="AA24" s="78"/>
      <c r="AB24" s="77"/>
      <c r="AC24" s="78"/>
      <c r="AG24" s="1"/>
      <c r="AH24" s="1"/>
      <c r="AI24" s="1"/>
      <c r="AJ24" s="1"/>
      <c r="AK24" s="1"/>
      <c r="AL24" s="1"/>
      <c r="AM24" s="1"/>
      <c r="AN24" s="1"/>
    </row>
    <row r="25" spans="1:40">
      <c r="A25" s="54" t="s">
        <v>126</v>
      </c>
      <c r="B25" s="6">
        <v>2.5</v>
      </c>
      <c r="C25" s="6">
        <v>1.6</v>
      </c>
      <c r="D25" s="6">
        <f t="shared" si="0"/>
        <v>8.1999999999999993</v>
      </c>
      <c r="E25" s="4">
        <f t="shared" si="1"/>
        <v>26.199999999999996</v>
      </c>
      <c r="F25" s="77"/>
      <c r="G25" s="78"/>
      <c r="H25" s="77"/>
      <c r="I25" s="78"/>
      <c r="J25" s="77"/>
      <c r="K25" s="78"/>
      <c r="L25" s="77"/>
      <c r="M25" s="78"/>
      <c r="N25" s="75">
        <v>0.8</v>
      </c>
      <c r="O25" s="76">
        <v>2.1</v>
      </c>
      <c r="P25" s="77"/>
      <c r="Q25" s="78"/>
      <c r="R25" s="77"/>
      <c r="S25" s="78"/>
      <c r="T25" s="77"/>
      <c r="U25" s="78"/>
      <c r="V25" s="77"/>
      <c r="W25" s="78"/>
      <c r="X25" s="77"/>
      <c r="Y25" s="78"/>
      <c r="Z25" s="77"/>
      <c r="AA25" s="78"/>
      <c r="AB25" s="77"/>
      <c r="AC25" s="78"/>
      <c r="AG25" s="1"/>
      <c r="AH25" s="1"/>
      <c r="AI25" s="1"/>
      <c r="AJ25" s="1"/>
      <c r="AK25" s="1"/>
      <c r="AL25" s="1"/>
      <c r="AM25" s="1"/>
      <c r="AN25" s="1"/>
    </row>
    <row r="26" spans="1:40">
      <c r="A26" s="54" t="s">
        <v>127</v>
      </c>
      <c r="B26" s="6">
        <v>2.5499999999999998</v>
      </c>
      <c r="C26" s="6">
        <v>4.42</v>
      </c>
      <c r="D26" s="6">
        <f t="shared" si="0"/>
        <v>13.94</v>
      </c>
      <c r="E26" s="4">
        <f t="shared" si="1"/>
        <v>45.715999999999994</v>
      </c>
      <c r="F26" s="77"/>
      <c r="G26" s="78"/>
      <c r="H26" s="77"/>
      <c r="I26" s="78"/>
      <c r="J26" s="77"/>
      <c r="K26" s="78"/>
      <c r="L26" s="77"/>
      <c r="M26" s="78"/>
      <c r="N26" s="75">
        <v>0.8</v>
      </c>
      <c r="O26" s="76">
        <v>2.1</v>
      </c>
      <c r="P26" s="77"/>
      <c r="Q26" s="78"/>
      <c r="R26" s="77"/>
      <c r="S26" s="78"/>
      <c r="T26" s="77"/>
      <c r="U26" s="78"/>
      <c r="V26" s="77"/>
      <c r="W26" s="78"/>
      <c r="X26" s="77"/>
      <c r="Y26" s="78"/>
      <c r="Z26" s="77"/>
      <c r="AA26" s="78"/>
      <c r="AB26" s="77"/>
      <c r="AC26" s="78"/>
      <c r="AG26" s="1"/>
      <c r="AH26" s="1"/>
      <c r="AI26" s="1"/>
      <c r="AJ26" s="1"/>
      <c r="AK26" s="1"/>
      <c r="AL26" s="1"/>
      <c r="AM26" s="1"/>
      <c r="AN26" s="1"/>
    </row>
    <row r="27" spans="1:40">
      <c r="A27" s="54" t="s">
        <v>128</v>
      </c>
      <c r="B27" s="6">
        <v>2.5499999999999998</v>
      </c>
      <c r="C27" s="6">
        <v>1.6</v>
      </c>
      <c r="D27" s="6">
        <f t="shared" si="0"/>
        <v>8.3000000000000007</v>
      </c>
      <c r="E27" s="4">
        <f t="shared" si="1"/>
        <v>26.330000000000002</v>
      </c>
      <c r="F27" s="77"/>
      <c r="G27" s="78"/>
      <c r="H27" s="77"/>
      <c r="I27" s="78"/>
      <c r="J27" s="77"/>
      <c r="K27" s="78"/>
      <c r="L27" s="77"/>
      <c r="M27" s="78"/>
      <c r="N27" s="75">
        <v>0.9</v>
      </c>
      <c r="O27" s="76">
        <v>2.1</v>
      </c>
      <c r="P27" s="77"/>
      <c r="Q27" s="78"/>
      <c r="R27" s="77"/>
      <c r="S27" s="78"/>
      <c r="T27" s="77"/>
      <c r="U27" s="78"/>
      <c r="V27" s="77"/>
      <c r="W27" s="78"/>
      <c r="X27" s="77"/>
      <c r="Y27" s="78"/>
      <c r="Z27" s="77"/>
      <c r="AA27" s="78"/>
      <c r="AB27" s="77"/>
      <c r="AC27" s="78"/>
      <c r="AG27" s="1"/>
      <c r="AH27" s="1"/>
      <c r="AI27" s="1"/>
      <c r="AJ27" s="1"/>
      <c r="AK27" s="1"/>
      <c r="AL27" s="1"/>
      <c r="AM27" s="1"/>
      <c r="AN27" s="1"/>
    </row>
    <row r="28" spans="1:40">
      <c r="A28" s="54" t="s">
        <v>129</v>
      </c>
      <c r="B28" s="9"/>
      <c r="C28" s="9"/>
      <c r="D28" s="6">
        <v>21.4</v>
      </c>
      <c r="E28" s="4">
        <f t="shared" si="1"/>
        <v>65.079999999999984</v>
      </c>
      <c r="F28" s="75">
        <v>4.1500000000000004</v>
      </c>
      <c r="G28" s="76">
        <v>1</v>
      </c>
      <c r="H28" s="75">
        <v>1.85</v>
      </c>
      <c r="I28" s="76">
        <v>1</v>
      </c>
      <c r="J28" s="77"/>
      <c r="K28" s="78"/>
      <c r="L28" s="77"/>
      <c r="M28" s="78"/>
      <c r="N28" s="75">
        <v>0.8</v>
      </c>
      <c r="O28" s="76">
        <v>2.1</v>
      </c>
      <c r="P28" s="77"/>
      <c r="Q28" s="78"/>
      <c r="R28" s="77"/>
      <c r="S28" s="78"/>
      <c r="T28" s="77"/>
      <c r="U28" s="78"/>
      <c r="V28" s="77"/>
      <c r="W28" s="78"/>
      <c r="X28" s="77"/>
      <c r="Y28" s="78"/>
      <c r="Z28" s="77"/>
      <c r="AA28" s="78"/>
      <c r="AB28" s="77"/>
      <c r="AC28" s="78"/>
      <c r="AG28" s="1"/>
      <c r="AH28" s="1"/>
      <c r="AI28" s="1"/>
      <c r="AJ28" s="1"/>
      <c r="AK28" s="1"/>
      <c r="AL28" s="1"/>
      <c r="AM28" s="1"/>
      <c r="AN28" s="1"/>
    </row>
    <row r="29" spans="1:40">
      <c r="A29" s="54" t="s">
        <v>130</v>
      </c>
      <c r="B29" s="6">
        <v>2.5499999999999998</v>
      </c>
      <c r="C29" s="6">
        <v>4.9000000000000004</v>
      </c>
      <c r="D29" s="6">
        <f t="shared" ref="D29:D30" si="2">2*(B29+C29)</f>
        <v>14.9</v>
      </c>
      <c r="E29" s="4">
        <f t="shared" si="1"/>
        <v>45.589999999999996</v>
      </c>
      <c r="F29" s="75">
        <v>1.5</v>
      </c>
      <c r="G29" s="76">
        <v>1</v>
      </c>
      <c r="H29" s="77"/>
      <c r="I29" s="78"/>
      <c r="J29" s="77"/>
      <c r="K29" s="78"/>
      <c r="L29" s="77"/>
      <c r="M29" s="78"/>
      <c r="N29" s="75">
        <v>0.8</v>
      </c>
      <c r="O29" s="76">
        <v>2.1</v>
      </c>
      <c r="P29" s="75">
        <v>0.9</v>
      </c>
      <c r="Q29" s="76">
        <v>2.1</v>
      </c>
      <c r="R29" s="77"/>
      <c r="S29" s="78"/>
      <c r="T29" s="77"/>
      <c r="U29" s="78"/>
      <c r="V29" s="77"/>
      <c r="W29" s="78"/>
      <c r="X29" s="77"/>
      <c r="Y29" s="78"/>
      <c r="Z29" s="77"/>
      <c r="AA29" s="78"/>
      <c r="AB29" s="77"/>
      <c r="AC29" s="78"/>
      <c r="AG29" s="1"/>
      <c r="AH29" s="1"/>
      <c r="AI29" s="1"/>
      <c r="AJ29" s="1"/>
      <c r="AK29" s="1"/>
      <c r="AL29" s="1"/>
      <c r="AM29" s="1"/>
      <c r="AN29" s="1"/>
    </row>
    <row r="30" spans="1:40">
      <c r="A30" s="54" t="s">
        <v>144</v>
      </c>
      <c r="B30" s="6">
        <v>2.5499999999999998</v>
      </c>
      <c r="C30" s="6">
        <v>4.9000000000000004</v>
      </c>
      <c r="D30" s="6">
        <f t="shared" si="2"/>
        <v>14.9</v>
      </c>
      <c r="E30" s="4">
        <f t="shared" si="1"/>
        <v>46.429999999999993</v>
      </c>
      <c r="F30" s="75">
        <v>2.5499999999999998</v>
      </c>
      <c r="G30" s="76">
        <v>1</v>
      </c>
      <c r="H30" s="77"/>
      <c r="I30" s="78"/>
      <c r="J30" s="77"/>
      <c r="K30" s="78"/>
      <c r="L30" s="77"/>
      <c r="M30" s="78"/>
      <c r="N30" s="75">
        <v>0.8</v>
      </c>
      <c r="O30" s="76">
        <v>2.1</v>
      </c>
      <c r="P30" s="77"/>
      <c r="Q30" s="78"/>
      <c r="R30" s="77"/>
      <c r="S30" s="78"/>
      <c r="T30" s="77"/>
      <c r="U30" s="78"/>
      <c r="V30" s="77"/>
      <c r="W30" s="78"/>
      <c r="X30" s="77"/>
      <c r="Y30" s="78"/>
      <c r="Z30" s="77"/>
      <c r="AA30" s="78"/>
      <c r="AB30" s="77"/>
      <c r="AC30" s="78"/>
      <c r="AG30" s="1"/>
      <c r="AH30" s="1"/>
      <c r="AI30" s="1"/>
      <c r="AJ30" s="1"/>
      <c r="AK30" s="1"/>
      <c r="AL30" s="1"/>
      <c r="AM30" s="1"/>
      <c r="AN30" s="1"/>
    </row>
    <row r="31" spans="1:40">
      <c r="A31" s="54" t="s">
        <v>131</v>
      </c>
      <c r="B31" s="9"/>
      <c r="C31" s="9"/>
      <c r="D31" s="6">
        <v>14.9</v>
      </c>
      <c r="E31" s="4">
        <f t="shared" si="1"/>
        <v>46.429999999999993</v>
      </c>
      <c r="F31" s="75">
        <v>2.5499999999999998</v>
      </c>
      <c r="G31" s="76">
        <v>1</v>
      </c>
      <c r="H31" s="77"/>
      <c r="I31" s="78"/>
      <c r="J31" s="77"/>
      <c r="K31" s="78"/>
      <c r="L31" s="77"/>
      <c r="M31" s="78"/>
      <c r="N31" s="75">
        <v>0.8</v>
      </c>
      <c r="O31" s="76">
        <v>2.1</v>
      </c>
      <c r="P31" s="77"/>
      <c r="Q31" s="78"/>
      <c r="R31" s="77"/>
      <c r="S31" s="78"/>
      <c r="T31" s="77"/>
      <c r="U31" s="78"/>
      <c r="V31" s="77"/>
      <c r="W31" s="78"/>
      <c r="X31" s="77"/>
      <c r="Y31" s="78"/>
      <c r="Z31" s="77"/>
      <c r="AA31" s="78"/>
      <c r="AB31" s="77"/>
      <c r="AC31" s="78"/>
      <c r="AG31" s="1"/>
      <c r="AH31" s="1"/>
      <c r="AI31" s="1"/>
      <c r="AJ31" s="1"/>
      <c r="AK31" s="1"/>
      <c r="AL31" s="1"/>
      <c r="AM31" s="1"/>
      <c r="AN31" s="1"/>
    </row>
    <row r="32" spans="1:40">
      <c r="A32" s="54" t="s">
        <v>132</v>
      </c>
      <c r="B32" s="6">
        <v>2.2999999999999998</v>
      </c>
      <c r="C32" s="6">
        <v>2.2000000000000002</v>
      </c>
      <c r="D32" s="6">
        <f t="shared" ref="D32:D37" si="3">2*(B32+C32)</f>
        <v>9</v>
      </c>
      <c r="E32" s="4">
        <f t="shared" si="1"/>
        <v>28.919999999999998</v>
      </c>
      <c r="F32" s="77"/>
      <c r="G32" s="78"/>
      <c r="H32" s="77"/>
      <c r="I32" s="78"/>
      <c r="J32" s="77"/>
      <c r="K32" s="78"/>
      <c r="L32" s="77"/>
      <c r="M32" s="78"/>
      <c r="N32" s="75">
        <v>0.8</v>
      </c>
      <c r="O32" s="76">
        <v>2.1</v>
      </c>
      <c r="P32" s="77"/>
      <c r="Q32" s="78"/>
      <c r="R32" s="77"/>
      <c r="S32" s="78"/>
      <c r="T32" s="77"/>
      <c r="U32" s="78"/>
      <c r="V32" s="77"/>
      <c r="W32" s="78"/>
      <c r="X32" s="77"/>
      <c r="Y32" s="78"/>
      <c r="Z32" s="77"/>
      <c r="AA32" s="78"/>
      <c r="AB32" s="77"/>
      <c r="AC32" s="78"/>
      <c r="AG32" s="1"/>
      <c r="AH32" s="1"/>
      <c r="AI32" s="1"/>
      <c r="AJ32" s="1"/>
      <c r="AK32" s="1"/>
      <c r="AL32" s="1"/>
      <c r="AM32" s="1"/>
      <c r="AN32" s="1"/>
    </row>
    <row r="33" spans="1:40">
      <c r="A33" s="54" t="s">
        <v>133</v>
      </c>
      <c r="B33" s="6">
        <v>5.15</v>
      </c>
      <c r="C33" s="6">
        <v>2.2000000000000002</v>
      </c>
      <c r="D33" s="6">
        <f t="shared" si="3"/>
        <v>14.700000000000001</v>
      </c>
      <c r="E33" s="4">
        <f t="shared" si="1"/>
        <v>46.620000000000005</v>
      </c>
      <c r="F33" s="77"/>
      <c r="G33" s="78"/>
      <c r="H33" s="77"/>
      <c r="I33" s="78"/>
      <c r="J33" s="77"/>
      <c r="K33" s="78"/>
      <c r="L33" s="77"/>
      <c r="M33" s="78"/>
      <c r="N33" s="75">
        <v>0.8</v>
      </c>
      <c r="O33" s="76">
        <v>2.1</v>
      </c>
      <c r="P33" s="75">
        <v>0.8</v>
      </c>
      <c r="Q33" s="76">
        <v>2.1</v>
      </c>
      <c r="R33" s="77"/>
      <c r="S33" s="78"/>
      <c r="T33" s="77"/>
      <c r="U33" s="78"/>
      <c r="V33" s="77"/>
      <c r="W33" s="78"/>
      <c r="X33" s="77"/>
      <c r="Y33" s="78"/>
      <c r="Z33" s="77"/>
      <c r="AA33" s="78"/>
      <c r="AB33" s="77"/>
      <c r="AC33" s="78"/>
      <c r="AG33" s="1"/>
      <c r="AH33" s="1"/>
      <c r="AI33" s="1"/>
      <c r="AJ33" s="1"/>
      <c r="AK33" s="1"/>
      <c r="AL33" s="1"/>
      <c r="AM33" s="1"/>
      <c r="AN33" s="1"/>
    </row>
    <row r="34" spans="1:40">
      <c r="A34" s="54" t="s">
        <v>134</v>
      </c>
      <c r="B34" s="6">
        <v>3.45</v>
      </c>
      <c r="C34" s="6">
        <v>3.82</v>
      </c>
      <c r="D34" s="6">
        <f t="shared" si="3"/>
        <v>14.54</v>
      </c>
      <c r="E34" s="4">
        <f t="shared" si="1"/>
        <v>44.30599999999999</v>
      </c>
      <c r="F34" s="75">
        <v>3.45</v>
      </c>
      <c r="G34" s="76">
        <v>1</v>
      </c>
      <c r="H34" s="77"/>
      <c r="I34" s="78"/>
      <c r="J34" s="77"/>
      <c r="K34" s="78"/>
      <c r="L34" s="77"/>
      <c r="M34" s="78"/>
      <c r="N34" s="75">
        <v>0.8</v>
      </c>
      <c r="O34" s="76">
        <v>2.1</v>
      </c>
      <c r="P34" s="77"/>
      <c r="Q34" s="78"/>
      <c r="R34" s="77"/>
      <c r="S34" s="78"/>
      <c r="T34" s="77"/>
      <c r="U34" s="78"/>
      <c r="V34" s="77"/>
      <c r="W34" s="78"/>
      <c r="X34" s="77"/>
      <c r="Y34" s="78"/>
      <c r="Z34" s="77"/>
      <c r="AA34" s="78"/>
      <c r="AB34" s="77"/>
      <c r="AC34" s="78"/>
      <c r="AG34" s="1"/>
      <c r="AH34" s="1"/>
      <c r="AI34" s="1"/>
      <c r="AJ34" s="1"/>
      <c r="AK34" s="1"/>
      <c r="AL34" s="1"/>
      <c r="AM34" s="1"/>
      <c r="AN34" s="1"/>
    </row>
    <row r="35" spans="1:40">
      <c r="A35" s="54" t="s">
        <v>135</v>
      </c>
      <c r="B35" s="6">
        <v>4.75</v>
      </c>
      <c r="C35" s="6">
        <v>1.89</v>
      </c>
      <c r="D35" s="6">
        <f t="shared" si="3"/>
        <v>13.28</v>
      </c>
      <c r="E35" s="4">
        <f t="shared" si="1"/>
        <v>33.811999999999991</v>
      </c>
      <c r="F35" s="77"/>
      <c r="G35" s="78"/>
      <c r="H35" s="77"/>
      <c r="I35" s="78"/>
      <c r="J35" s="77"/>
      <c r="K35" s="78"/>
      <c r="L35" s="77"/>
      <c r="M35" s="78"/>
      <c r="N35" s="75">
        <v>0.8</v>
      </c>
      <c r="O35" s="76">
        <v>2.1</v>
      </c>
      <c r="P35" s="75">
        <v>0.8</v>
      </c>
      <c r="Q35" s="76">
        <v>2.1</v>
      </c>
      <c r="R35" s="75">
        <v>0.8</v>
      </c>
      <c r="S35" s="76">
        <v>2.1</v>
      </c>
      <c r="T35" s="75">
        <v>0.9</v>
      </c>
      <c r="U35" s="76">
        <v>2.1</v>
      </c>
      <c r="V35" s="75">
        <v>0.9</v>
      </c>
      <c r="W35" s="76">
        <v>2.1</v>
      </c>
      <c r="X35" s="77"/>
      <c r="Y35" s="78"/>
      <c r="Z35" s="77"/>
      <c r="AA35" s="78"/>
      <c r="AB35" s="75">
        <v>1.2</v>
      </c>
      <c r="AC35" s="76">
        <v>2.1</v>
      </c>
      <c r="AG35" s="1"/>
      <c r="AH35" s="1"/>
      <c r="AI35" s="1"/>
      <c r="AJ35" s="1"/>
      <c r="AK35" s="1"/>
      <c r="AL35" s="1"/>
      <c r="AM35" s="1"/>
      <c r="AN35" s="1"/>
    </row>
    <row r="36" spans="1:40">
      <c r="A36" s="54" t="s">
        <v>128</v>
      </c>
      <c r="B36" s="6">
        <v>1.8</v>
      </c>
      <c r="C36" s="6">
        <v>1.8</v>
      </c>
      <c r="D36" s="6">
        <f t="shared" si="3"/>
        <v>7.2</v>
      </c>
      <c r="E36" s="4">
        <f t="shared" si="1"/>
        <v>20.79</v>
      </c>
      <c r="F36" s="75">
        <v>1.8</v>
      </c>
      <c r="G36" s="76">
        <v>1</v>
      </c>
      <c r="H36" s="77"/>
      <c r="I36" s="78"/>
      <c r="J36" s="77"/>
      <c r="K36" s="78"/>
      <c r="L36" s="77"/>
      <c r="M36" s="78"/>
      <c r="N36" s="75">
        <v>0.9</v>
      </c>
      <c r="O36" s="76">
        <v>2.1</v>
      </c>
      <c r="P36" s="77"/>
      <c r="Q36" s="78"/>
      <c r="R36" s="77"/>
      <c r="S36" s="78"/>
      <c r="T36" s="77"/>
      <c r="U36" s="78"/>
      <c r="V36" s="77"/>
      <c r="W36" s="78"/>
      <c r="X36" s="77"/>
      <c r="Y36" s="78"/>
      <c r="Z36" s="77"/>
      <c r="AA36" s="78"/>
      <c r="AB36" s="77"/>
      <c r="AC36" s="78"/>
      <c r="AG36" s="1"/>
      <c r="AH36" s="1"/>
      <c r="AI36" s="1"/>
      <c r="AJ36" s="1"/>
      <c r="AK36" s="1"/>
      <c r="AL36" s="1"/>
      <c r="AM36" s="1"/>
      <c r="AN36" s="1"/>
    </row>
    <row r="37" spans="1:40">
      <c r="A37" s="54" t="s">
        <v>136</v>
      </c>
      <c r="B37" s="6">
        <v>1.5</v>
      </c>
      <c r="C37" s="6">
        <v>1.8</v>
      </c>
      <c r="D37" s="6">
        <f t="shared" si="3"/>
        <v>6.6</v>
      </c>
      <c r="E37" s="4">
        <f t="shared" si="1"/>
        <v>19.259999999999998</v>
      </c>
      <c r="F37" s="75">
        <v>1.5</v>
      </c>
      <c r="G37" s="76">
        <v>1</v>
      </c>
      <c r="H37" s="77"/>
      <c r="I37" s="78"/>
      <c r="J37" s="77"/>
      <c r="K37" s="78"/>
      <c r="L37" s="77"/>
      <c r="M37" s="78"/>
      <c r="N37" s="75">
        <v>0.8</v>
      </c>
      <c r="O37" s="76">
        <v>2.1</v>
      </c>
      <c r="P37" s="77"/>
      <c r="Q37" s="78"/>
      <c r="R37" s="77"/>
      <c r="S37" s="78"/>
      <c r="T37" s="77"/>
      <c r="U37" s="78"/>
      <c r="V37" s="77"/>
      <c r="W37" s="78"/>
      <c r="X37" s="77"/>
      <c r="Y37" s="78"/>
      <c r="Z37" s="77"/>
      <c r="AA37" s="78"/>
      <c r="AB37" s="77"/>
      <c r="AC37" s="78"/>
      <c r="AG37" s="1"/>
      <c r="AH37" s="1"/>
      <c r="AI37" s="1"/>
      <c r="AJ37" s="1"/>
      <c r="AK37" s="1"/>
      <c r="AL37" s="1"/>
      <c r="AM37" s="1"/>
      <c r="AN37" s="1"/>
    </row>
    <row r="38" spans="1:40">
      <c r="A38" s="54" t="s">
        <v>128</v>
      </c>
      <c r="B38" s="9"/>
      <c r="C38" s="9"/>
      <c r="D38" s="6">
        <v>7.1</v>
      </c>
      <c r="E38" s="4">
        <f t="shared" si="1"/>
        <v>20.499999999999996</v>
      </c>
      <c r="F38" s="75">
        <v>1.75</v>
      </c>
      <c r="G38" s="76">
        <v>1</v>
      </c>
      <c r="H38" s="77"/>
      <c r="I38" s="78"/>
      <c r="J38" s="77"/>
      <c r="K38" s="78"/>
      <c r="L38" s="77"/>
      <c r="M38" s="78"/>
      <c r="N38" s="75">
        <v>0.9</v>
      </c>
      <c r="O38" s="76">
        <v>2.1</v>
      </c>
      <c r="P38" s="77"/>
      <c r="Q38" s="78"/>
      <c r="R38" s="77"/>
      <c r="S38" s="78"/>
      <c r="T38" s="77"/>
      <c r="U38" s="78"/>
      <c r="V38" s="77"/>
      <c r="W38" s="78"/>
      <c r="X38" s="77"/>
      <c r="Y38" s="78"/>
      <c r="Z38" s="77"/>
      <c r="AA38" s="78"/>
      <c r="AB38" s="77"/>
      <c r="AC38" s="78"/>
      <c r="AG38" s="1"/>
      <c r="AH38" s="1"/>
      <c r="AI38" s="1"/>
      <c r="AJ38" s="1"/>
      <c r="AK38" s="1"/>
      <c r="AL38" s="1"/>
      <c r="AM38" s="1"/>
      <c r="AN38" s="1"/>
    </row>
    <row r="39" spans="1:40">
      <c r="A39" s="54" t="s">
        <v>134</v>
      </c>
      <c r="B39" s="9"/>
      <c r="C39" s="9"/>
      <c r="D39" s="6">
        <v>15.12</v>
      </c>
      <c r="E39" s="4">
        <f t="shared" si="1"/>
        <v>46.327999999999996</v>
      </c>
      <c r="F39" s="75">
        <v>3.4</v>
      </c>
      <c r="G39" s="76">
        <v>1</v>
      </c>
      <c r="H39" s="77"/>
      <c r="I39" s="78"/>
      <c r="J39" s="77"/>
      <c r="K39" s="78"/>
      <c r="L39" s="77"/>
      <c r="M39" s="78"/>
      <c r="N39" s="75">
        <v>0.8</v>
      </c>
      <c r="O39" s="76">
        <v>2.1</v>
      </c>
      <c r="P39" s="77"/>
      <c r="Q39" s="78"/>
      <c r="R39" s="77"/>
      <c r="S39" s="78"/>
      <c r="T39" s="77"/>
      <c r="U39" s="78"/>
      <c r="V39" s="77"/>
      <c r="W39" s="78"/>
      <c r="X39" s="77"/>
      <c r="Y39" s="78"/>
      <c r="Z39" s="77"/>
      <c r="AA39" s="78"/>
      <c r="AB39" s="77"/>
      <c r="AC39" s="78"/>
      <c r="AG39" s="1"/>
      <c r="AH39" s="1"/>
      <c r="AI39" s="1"/>
      <c r="AJ39" s="1"/>
      <c r="AK39" s="1"/>
      <c r="AL39" s="1"/>
      <c r="AM39" s="1"/>
      <c r="AN39" s="1"/>
    </row>
    <row r="40" spans="1:40">
      <c r="A40" s="54" t="s">
        <v>143</v>
      </c>
      <c r="B40" s="9"/>
      <c r="C40" s="9"/>
      <c r="D40" s="6">
        <v>63.03</v>
      </c>
      <c r="E40" s="4">
        <f t="shared" si="1"/>
        <v>137.83949999999999</v>
      </c>
      <c r="F40" s="75">
        <v>7.75</v>
      </c>
      <c r="G40" s="76">
        <v>2.95</v>
      </c>
      <c r="H40" s="75">
        <v>4.8</v>
      </c>
      <c r="I40" s="76">
        <v>2.65</v>
      </c>
      <c r="J40" s="77"/>
      <c r="K40" s="78"/>
      <c r="L40" s="77"/>
      <c r="M40" s="78"/>
      <c r="N40" s="75">
        <v>4.8</v>
      </c>
      <c r="O40" s="76">
        <v>2.65</v>
      </c>
      <c r="P40" s="75">
        <v>5</v>
      </c>
      <c r="Q40" s="76">
        <v>2.65</v>
      </c>
      <c r="R40" s="75">
        <v>2.1</v>
      </c>
      <c r="S40" s="76">
        <v>2.1</v>
      </c>
      <c r="T40" s="75">
        <v>0.8</v>
      </c>
      <c r="U40" s="76">
        <v>2.1</v>
      </c>
      <c r="V40" s="75">
        <v>0.8</v>
      </c>
      <c r="W40" s="76">
        <v>2.1</v>
      </c>
      <c r="X40" s="86"/>
      <c r="Y40" s="87"/>
      <c r="Z40" s="75">
        <v>1.2</v>
      </c>
      <c r="AA40" s="76">
        <v>2.1</v>
      </c>
      <c r="AB40" s="75">
        <v>2.2000000000000002</v>
      </c>
      <c r="AC40" s="76">
        <v>2.1</v>
      </c>
      <c r="AG40" s="1"/>
      <c r="AH40" s="1"/>
      <c r="AI40" s="1"/>
      <c r="AJ40" s="1"/>
      <c r="AK40" s="1"/>
      <c r="AL40" s="1"/>
      <c r="AM40" s="1"/>
      <c r="AN40" s="1"/>
    </row>
    <row r="41" spans="1:40">
      <c r="A41" s="54" t="s">
        <v>137</v>
      </c>
      <c r="B41" s="6">
        <v>1.95</v>
      </c>
      <c r="C41" s="6">
        <v>3.23</v>
      </c>
      <c r="D41" s="6">
        <f t="shared" ref="D41:D43" si="4">2*(B41+C41)</f>
        <v>10.36</v>
      </c>
      <c r="E41" s="4">
        <f t="shared" si="1"/>
        <v>33.543999999999997</v>
      </c>
      <c r="F41" s="77"/>
      <c r="G41" s="78"/>
      <c r="H41" s="77"/>
      <c r="I41" s="78"/>
      <c r="J41" s="77"/>
      <c r="K41" s="78"/>
      <c r="L41" s="77"/>
      <c r="M41" s="78"/>
      <c r="N41" s="75">
        <v>0.8</v>
      </c>
      <c r="O41" s="76">
        <v>2.1</v>
      </c>
      <c r="P41" s="77"/>
      <c r="Q41" s="78"/>
      <c r="R41" s="77"/>
      <c r="S41" s="78"/>
      <c r="T41" s="77"/>
      <c r="U41" s="78"/>
      <c r="V41" s="77"/>
      <c r="W41" s="78"/>
      <c r="X41" s="77"/>
      <c r="Y41" s="78"/>
      <c r="Z41" s="77"/>
      <c r="AA41" s="78"/>
      <c r="AB41" s="77"/>
      <c r="AC41" s="78"/>
      <c r="AG41" s="1"/>
      <c r="AH41" s="1"/>
      <c r="AI41" s="1"/>
      <c r="AJ41" s="1"/>
      <c r="AK41" s="1"/>
      <c r="AL41" s="1"/>
      <c r="AM41" s="1"/>
      <c r="AN41" s="1"/>
    </row>
    <row r="42" spans="1:40">
      <c r="A42" s="54" t="s">
        <v>138</v>
      </c>
      <c r="B42" s="6">
        <v>1.95</v>
      </c>
      <c r="C42" s="6">
        <v>2.15</v>
      </c>
      <c r="D42" s="6">
        <f t="shared" si="4"/>
        <v>8.1999999999999993</v>
      </c>
      <c r="E42" s="4">
        <f t="shared" si="1"/>
        <v>22.629999999999995</v>
      </c>
      <c r="F42" s="75">
        <v>1.05</v>
      </c>
      <c r="G42" s="76">
        <v>1.8</v>
      </c>
      <c r="H42" s="77"/>
      <c r="I42" s="78"/>
      <c r="J42" s="77"/>
      <c r="K42" s="78"/>
      <c r="L42" s="77"/>
      <c r="M42" s="78"/>
      <c r="N42" s="75">
        <v>0.8</v>
      </c>
      <c r="O42" s="76">
        <v>2.1</v>
      </c>
      <c r="P42" s="75">
        <v>0.8</v>
      </c>
      <c r="Q42" s="76">
        <v>2.1</v>
      </c>
      <c r="R42" s="77"/>
      <c r="S42" s="78"/>
      <c r="T42" s="77"/>
      <c r="U42" s="78"/>
      <c r="V42" s="77"/>
      <c r="W42" s="78"/>
      <c r="X42" s="77"/>
      <c r="Y42" s="78"/>
      <c r="Z42" s="77"/>
      <c r="AA42" s="78"/>
      <c r="AB42" s="77"/>
      <c r="AC42" s="78"/>
      <c r="AG42" s="1"/>
      <c r="AH42" s="1"/>
      <c r="AI42" s="1"/>
      <c r="AJ42" s="1"/>
      <c r="AK42" s="1"/>
      <c r="AL42" s="1"/>
      <c r="AM42" s="1"/>
      <c r="AN42" s="1"/>
    </row>
    <row r="43" spans="1:40">
      <c r="A43" s="54" t="s">
        <v>134</v>
      </c>
      <c r="B43" s="6">
        <v>1.95</v>
      </c>
      <c r="C43" s="6">
        <v>1.1000000000000001</v>
      </c>
      <c r="D43" s="6">
        <f t="shared" si="4"/>
        <v>6.1</v>
      </c>
      <c r="E43" s="4">
        <f t="shared" si="1"/>
        <v>18.259999999999998</v>
      </c>
      <c r="F43" s="75">
        <v>1</v>
      </c>
      <c r="G43" s="76">
        <v>0.8</v>
      </c>
      <c r="H43" s="77"/>
      <c r="I43" s="78"/>
      <c r="J43" s="77"/>
      <c r="K43" s="78"/>
      <c r="L43" s="77"/>
      <c r="M43" s="78"/>
      <c r="N43" s="75">
        <v>0.8</v>
      </c>
      <c r="O43" s="76">
        <v>2.1</v>
      </c>
      <c r="P43" s="77"/>
      <c r="Q43" s="78"/>
      <c r="R43" s="77"/>
      <c r="S43" s="78"/>
      <c r="T43" s="77"/>
      <c r="U43" s="78"/>
      <c r="V43" s="77"/>
      <c r="W43" s="78"/>
      <c r="X43" s="77"/>
      <c r="Y43" s="78"/>
      <c r="Z43" s="77"/>
      <c r="AA43" s="78"/>
      <c r="AB43" s="77"/>
      <c r="AC43" s="78"/>
      <c r="AG43" s="1"/>
      <c r="AH43" s="1"/>
      <c r="AI43" s="1"/>
      <c r="AJ43" s="1"/>
      <c r="AK43" s="1"/>
      <c r="AL43" s="1"/>
      <c r="AM43" s="1"/>
      <c r="AN43" s="1"/>
    </row>
    <row r="44" spans="1:40">
      <c r="A44" s="54" t="s">
        <v>139</v>
      </c>
      <c r="B44" s="9"/>
      <c r="C44" s="9"/>
      <c r="D44" s="6">
        <v>27.06</v>
      </c>
      <c r="E44" s="4">
        <f t="shared" si="1"/>
        <v>81.590999999999994</v>
      </c>
      <c r="F44" s="75">
        <v>3</v>
      </c>
      <c r="G44" s="76">
        <v>1</v>
      </c>
      <c r="H44" s="77"/>
      <c r="I44" s="78"/>
      <c r="J44" s="77"/>
      <c r="K44" s="78"/>
      <c r="L44" s="77"/>
      <c r="M44" s="78"/>
      <c r="N44" s="75">
        <v>1.33</v>
      </c>
      <c r="O44" s="76">
        <v>2.1</v>
      </c>
      <c r="P44" s="77"/>
      <c r="Q44" s="78"/>
      <c r="R44" s="77"/>
      <c r="S44" s="78"/>
      <c r="T44" s="77"/>
      <c r="U44" s="78"/>
      <c r="V44" s="77"/>
      <c r="W44" s="78"/>
      <c r="X44" s="77"/>
      <c r="Y44" s="78"/>
      <c r="Z44" s="77"/>
      <c r="AA44" s="78"/>
      <c r="AB44" s="75">
        <v>2.2000000000000002</v>
      </c>
      <c r="AC44" s="76">
        <v>2.1</v>
      </c>
      <c r="AG44" s="1"/>
      <c r="AH44" s="1"/>
      <c r="AI44" s="1"/>
      <c r="AJ44" s="1"/>
      <c r="AK44" s="1"/>
      <c r="AL44" s="1"/>
      <c r="AM44" s="1"/>
      <c r="AN44" s="1"/>
    </row>
    <row r="45" spans="1:40">
      <c r="A45" s="54" t="s">
        <v>110</v>
      </c>
      <c r="B45" s="6">
        <v>1.75</v>
      </c>
      <c r="C45" s="6">
        <v>1.45</v>
      </c>
      <c r="D45" s="6">
        <f t="shared" si="0"/>
        <v>6.4</v>
      </c>
      <c r="E45" s="4">
        <f t="shared" si="1"/>
        <v>18.967000000000002</v>
      </c>
      <c r="F45" s="77"/>
      <c r="G45" s="78"/>
      <c r="H45" s="77"/>
      <c r="I45" s="78"/>
      <c r="J45" s="77"/>
      <c r="K45" s="78"/>
      <c r="L45" s="77"/>
      <c r="M45" s="78"/>
      <c r="N45" s="75">
        <v>1.33</v>
      </c>
      <c r="O45" s="76">
        <v>2.1</v>
      </c>
      <c r="P45" s="77"/>
      <c r="Q45" s="78"/>
      <c r="R45" s="77"/>
      <c r="S45" s="78"/>
      <c r="T45" s="77"/>
      <c r="U45" s="78"/>
      <c r="V45" s="77"/>
      <c r="W45" s="78"/>
      <c r="X45" s="77"/>
      <c r="Y45" s="78"/>
      <c r="Z45" s="77"/>
      <c r="AA45" s="78"/>
      <c r="AB45" s="77"/>
      <c r="AC45" s="78"/>
      <c r="AG45" s="1"/>
      <c r="AH45" s="1"/>
      <c r="AI45" s="1"/>
      <c r="AJ45" s="1"/>
      <c r="AK45" s="1"/>
      <c r="AL45" s="1"/>
      <c r="AM45" s="1"/>
      <c r="AN45" s="1"/>
    </row>
    <row r="46" spans="1:40">
      <c r="A46" s="54" t="s">
        <v>4</v>
      </c>
      <c r="B46" s="9"/>
      <c r="C46" s="9"/>
      <c r="D46" s="6">
        <v>134.11000000000001</v>
      </c>
      <c r="E46" s="4">
        <f t="shared" si="1"/>
        <v>364.90400000000005</v>
      </c>
      <c r="F46" s="75">
        <v>2</v>
      </c>
      <c r="G46" s="76">
        <v>1</v>
      </c>
      <c r="H46" s="77"/>
      <c r="I46" s="78"/>
      <c r="J46" s="77"/>
      <c r="K46" s="78"/>
      <c r="L46" s="75">
        <v>1.75</v>
      </c>
      <c r="M46" s="76">
        <v>1</v>
      </c>
      <c r="N46" s="75">
        <f>18*0.8</f>
        <v>14.4</v>
      </c>
      <c r="O46" s="76">
        <v>2.1</v>
      </c>
      <c r="P46" s="75">
        <f>4*2.1</f>
        <v>8.4</v>
      </c>
      <c r="Q46" s="76">
        <v>2.1</v>
      </c>
      <c r="R46" s="75">
        <f>7*1.1</f>
        <v>7.7000000000000011</v>
      </c>
      <c r="S46" s="76">
        <v>2.1</v>
      </c>
      <c r="T46" s="75">
        <v>1.2</v>
      </c>
      <c r="U46" s="76">
        <v>2.1</v>
      </c>
      <c r="V46" s="75">
        <f>2*0.9</f>
        <v>1.8</v>
      </c>
      <c r="W46" s="76">
        <v>2.1</v>
      </c>
      <c r="X46" s="75">
        <v>1.1000000000000001</v>
      </c>
      <c r="Y46" s="76">
        <v>2.1</v>
      </c>
      <c r="Z46" s="75">
        <v>1.2</v>
      </c>
      <c r="AA46" s="76">
        <v>0.6</v>
      </c>
      <c r="AB46" s="75">
        <f>1.9+2.2</f>
        <v>4.0999999999999996</v>
      </c>
      <c r="AC46" s="76">
        <f>A3</f>
        <v>3.4</v>
      </c>
      <c r="AG46" s="1"/>
      <c r="AH46" s="1"/>
      <c r="AI46" s="1"/>
      <c r="AJ46" s="1"/>
      <c r="AK46" s="1"/>
      <c r="AL46" s="1"/>
      <c r="AM46" s="1"/>
      <c r="AN46" s="1"/>
    </row>
    <row r="47" spans="1:40">
      <c r="A47" s="54" t="s">
        <v>140</v>
      </c>
      <c r="B47" s="6">
        <v>2.35</v>
      </c>
      <c r="C47" s="6">
        <v>3.42</v>
      </c>
      <c r="D47" s="6">
        <f t="shared" ref="D47" si="5">2*(B47+C47)</f>
        <v>11.54</v>
      </c>
      <c r="E47" s="4">
        <f t="shared" si="1"/>
        <v>37.555999999999997</v>
      </c>
      <c r="F47" s="77"/>
      <c r="G47" s="78"/>
      <c r="H47" s="77"/>
      <c r="I47" s="78"/>
      <c r="J47" s="77"/>
      <c r="K47" s="78"/>
      <c r="L47" s="77"/>
      <c r="M47" s="78"/>
      <c r="N47" s="75">
        <v>0.8</v>
      </c>
      <c r="O47" s="76">
        <v>2.1</v>
      </c>
      <c r="P47" s="77"/>
      <c r="Q47" s="78"/>
      <c r="R47" s="77"/>
      <c r="S47" s="78"/>
      <c r="T47" s="77"/>
      <c r="U47" s="78"/>
      <c r="V47" s="77"/>
      <c r="W47" s="78"/>
      <c r="X47" s="77"/>
      <c r="Y47" s="78"/>
      <c r="Z47" s="77"/>
      <c r="AA47" s="78"/>
      <c r="AB47" s="77"/>
      <c r="AC47" s="78"/>
      <c r="AG47" s="1"/>
      <c r="AH47" s="1"/>
      <c r="AI47" s="1"/>
      <c r="AJ47" s="1"/>
      <c r="AK47" s="1"/>
      <c r="AL47" s="1"/>
      <c r="AM47" s="1"/>
      <c r="AN47" s="1"/>
    </row>
    <row r="48" spans="1:40">
      <c r="A48" s="54" t="s">
        <v>145</v>
      </c>
      <c r="B48" s="9"/>
      <c r="C48" s="9"/>
      <c r="D48" s="6">
        <v>45.7</v>
      </c>
      <c r="E48" s="4">
        <f t="shared" si="1"/>
        <v>144.79</v>
      </c>
      <c r="F48" s="75">
        <v>2.75</v>
      </c>
      <c r="G48" s="76">
        <v>1</v>
      </c>
      <c r="H48" s="77"/>
      <c r="I48" s="78"/>
      <c r="J48" s="77"/>
      <c r="K48" s="78"/>
      <c r="L48" s="77"/>
      <c r="M48" s="78"/>
      <c r="N48" s="75">
        <v>0.9</v>
      </c>
      <c r="O48" s="76">
        <v>2.1</v>
      </c>
      <c r="P48" s="75">
        <v>0.9</v>
      </c>
      <c r="Q48" s="76">
        <v>2.1</v>
      </c>
      <c r="R48" s="75">
        <v>1.1000000000000001</v>
      </c>
      <c r="S48" s="76">
        <v>2.1</v>
      </c>
      <c r="T48" s="77"/>
      <c r="U48" s="78"/>
      <c r="V48" s="77"/>
      <c r="W48" s="78"/>
      <c r="X48" s="77"/>
      <c r="Y48" s="78"/>
      <c r="Z48" s="75">
        <v>1.75</v>
      </c>
      <c r="AA48" s="76">
        <v>1</v>
      </c>
      <c r="AB48" s="77"/>
      <c r="AC48" s="78"/>
      <c r="AG48" s="1"/>
      <c r="AH48" s="1"/>
      <c r="AI48" s="1"/>
      <c r="AJ48" s="1"/>
      <c r="AK48" s="1"/>
      <c r="AL48" s="1"/>
      <c r="AM48" s="1"/>
      <c r="AN48" s="1"/>
    </row>
    <row r="49" spans="1:40">
      <c r="A49" s="54" t="s">
        <v>128</v>
      </c>
      <c r="B49" s="6">
        <v>2.35</v>
      </c>
      <c r="C49" s="6">
        <v>1.8</v>
      </c>
      <c r="D49" s="6">
        <f t="shared" ref="D49:D50" si="6">2*(B49+C49)</f>
        <v>8.3000000000000007</v>
      </c>
      <c r="E49" s="4">
        <f t="shared" si="1"/>
        <v>25.53</v>
      </c>
      <c r="F49" s="75">
        <v>1</v>
      </c>
      <c r="G49" s="76">
        <v>0.8</v>
      </c>
      <c r="H49" s="77"/>
      <c r="I49" s="78"/>
      <c r="J49" s="77"/>
      <c r="K49" s="78"/>
      <c r="L49" s="77"/>
      <c r="M49" s="78"/>
      <c r="N49" s="75">
        <v>0.9</v>
      </c>
      <c r="O49" s="76">
        <v>2.1</v>
      </c>
      <c r="P49" s="77"/>
      <c r="Q49" s="78"/>
      <c r="R49" s="77"/>
      <c r="S49" s="78"/>
      <c r="T49" s="77"/>
      <c r="U49" s="78"/>
      <c r="V49" s="77"/>
      <c r="W49" s="78"/>
      <c r="X49" s="77"/>
      <c r="Y49" s="78"/>
      <c r="Z49" s="77"/>
      <c r="AA49" s="78"/>
      <c r="AB49" s="77"/>
      <c r="AC49" s="78"/>
      <c r="AG49" s="1"/>
      <c r="AH49" s="1"/>
      <c r="AI49" s="1"/>
      <c r="AJ49" s="1"/>
      <c r="AK49" s="1"/>
      <c r="AL49" s="1"/>
      <c r="AM49" s="1"/>
      <c r="AN49" s="1"/>
    </row>
    <row r="50" spans="1:40">
      <c r="A50" s="54" t="s">
        <v>128</v>
      </c>
      <c r="B50" s="6">
        <v>2.35</v>
      </c>
      <c r="C50" s="6">
        <v>1.8</v>
      </c>
      <c r="D50" s="6">
        <f t="shared" si="6"/>
        <v>8.3000000000000007</v>
      </c>
      <c r="E50" s="4">
        <f t="shared" si="1"/>
        <v>25.53</v>
      </c>
      <c r="F50" s="75">
        <v>1</v>
      </c>
      <c r="G50" s="76">
        <v>0.8</v>
      </c>
      <c r="H50" s="77"/>
      <c r="I50" s="78"/>
      <c r="J50" s="77"/>
      <c r="K50" s="78"/>
      <c r="L50" s="77"/>
      <c r="M50" s="78"/>
      <c r="N50" s="75">
        <v>0.9</v>
      </c>
      <c r="O50" s="76">
        <v>2.1</v>
      </c>
      <c r="P50" s="77"/>
      <c r="Q50" s="78"/>
      <c r="R50" s="77"/>
      <c r="S50" s="78"/>
      <c r="T50" s="77"/>
      <c r="U50" s="78"/>
      <c r="V50" s="77"/>
      <c r="W50" s="78"/>
      <c r="X50" s="77"/>
      <c r="Y50" s="78"/>
      <c r="Z50" s="77"/>
      <c r="AA50" s="78"/>
      <c r="AB50" s="77"/>
      <c r="AC50" s="78"/>
      <c r="AG50" s="1"/>
      <c r="AH50" s="1"/>
      <c r="AI50" s="1"/>
      <c r="AJ50" s="1"/>
      <c r="AK50" s="1"/>
      <c r="AL50" s="1"/>
      <c r="AM50" s="1"/>
      <c r="AN50" s="1"/>
    </row>
    <row r="51" spans="1:40">
      <c r="A51" s="54" t="s">
        <v>146</v>
      </c>
      <c r="B51" s="9"/>
      <c r="C51" s="9"/>
      <c r="D51" s="6">
        <v>33.200000000000003</v>
      </c>
      <c r="E51" s="4">
        <f t="shared" si="1"/>
        <v>101.76</v>
      </c>
      <c r="F51" s="75">
        <v>2.2000000000000002</v>
      </c>
      <c r="G51" s="76">
        <v>1</v>
      </c>
      <c r="H51" s="75">
        <v>2.2000000000000002</v>
      </c>
      <c r="I51" s="76">
        <v>1</v>
      </c>
      <c r="J51" s="77"/>
      <c r="K51" s="78"/>
      <c r="L51" s="77"/>
      <c r="M51" s="78"/>
      <c r="N51" s="75">
        <v>1.1000000000000001</v>
      </c>
      <c r="O51" s="76">
        <v>2.1</v>
      </c>
      <c r="P51" s="75">
        <v>2.1</v>
      </c>
      <c r="Q51" s="76">
        <v>2.1</v>
      </c>
      <c r="R51" s="77"/>
      <c r="S51" s="78"/>
      <c r="T51" s="77"/>
      <c r="U51" s="78"/>
      <c r="V51" s="77"/>
      <c r="W51" s="78"/>
      <c r="X51" s="77"/>
      <c r="Y51" s="78"/>
      <c r="Z51" s="77"/>
      <c r="AA51" s="78"/>
      <c r="AB51" s="77"/>
      <c r="AC51" s="78"/>
      <c r="AG51" s="1"/>
      <c r="AH51" s="1"/>
      <c r="AI51" s="1"/>
      <c r="AJ51" s="1"/>
      <c r="AK51" s="1"/>
      <c r="AL51" s="1"/>
      <c r="AM51" s="1"/>
      <c r="AN51" s="1"/>
    </row>
    <row r="52" spans="1:40">
      <c r="A52" s="54" t="s">
        <v>122</v>
      </c>
      <c r="B52" s="6">
        <v>1.9</v>
      </c>
      <c r="C52" s="6">
        <v>3.25</v>
      </c>
      <c r="D52" s="6">
        <f t="shared" si="0"/>
        <v>10.3</v>
      </c>
      <c r="E52" s="4">
        <f t="shared" si="1"/>
        <v>28.560000000000002</v>
      </c>
      <c r="F52" s="77"/>
      <c r="G52" s="78"/>
      <c r="H52" s="77"/>
      <c r="I52" s="78"/>
      <c r="J52" s="77"/>
      <c r="K52" s="78"/>
      <c r="L52" s="77"/>
      <c r="M52" s="78"/>
      <c r="N52" s="77"/>
      <c r="O52" s="78"/>
      <c r="P52" s="77"/>
      <c r="Q52" s="78"/>
      <c r="R52" s="77"/>
      <c r="S52" s="78"/>
      <c r="T52" s="77"/>
      <c r="U52" s="78"/>
      <c r="V52" s="77"/>
      <c r="W52" s="78"/>
      <c r="X52" s="77"/>
      <c r="Y52" s="78"/>
      <c r="Z52" s="77"/>
      <c r="AA52" s="78"/>
      <c r="AB52" s="75">
        <v>1.9</v>
      </c>
      <c r="AC52" s="76">
        <v>3.4</v>
      </c>
      <c r="AG52" s="1"/>
      <c r="AH52" s="1"/>
      <c r="AI52" s="1"/>
      <c r="AJ52" s="1"/>
      <c r="AK52" s="1"/>
      <c r="AL52" s="1"/>
      <c r="AM52" s="1"/>
      <c r="AN52" s="1"/>
    </row>
    <row r="53" spans="1:40">
      <c r="A53" s="54" t="s">
        <v>147</v>
      </c>
      <c r="B53" s="6">
        <v>3.45</v>
      </c>
      <c r="C53" s="6">
        <v>2.4500000000000002</v>
      </c>
      <c r="D53" s="6">
        <f t="shared" si="0"/>
        <v>11.8</v>
      </c>
      <c r="E53" s="4">
        <f t="shared" si="1"/>
        <v>35.5</v>
      </c>
      <c r="F53" s="77"/>
      <c r="G53" s="78"/>
      <c r="H53" s="77"/>
      <c r="I53" s="78"/>
      <c r="J53" s="77"/>
      <c r="K53" s="78"/>
      <c r="L53" s="77"/>
      <c r="M53" s="78"/>
      <c r="N53" s="75">
        <v>1.1000000000000001</v>
      </c>
      <c r="O53" s="76">
        <v>2.1</v>
      </c>
      <c r="P53" s="75">
        <v>1.1000000000000001</v>
      </c>
      <c r="Q53" s="76">
        <v>2.1</v>
      </c>
      <c r="R53" s="77"/>
      <c r="S53" s="78"/>
      <c r="T53" s="77"/>
      <c r="U53" s="78"/>
      <c r="V53" s="77"/>
      <c r="W53" s="78"/>
      <c r="X53" s="77"/>
      <c r="Y53" s="78"/>
      <c r="Z53" s="77"/>
      <c r="AA53" s="78"/>
      <c r="AB53" s="77"/>
      <c r="AC53" s="78"/>
      <c r="AG53" s="1"/>
      <c r="AH53" s="1"/>
      <c r="AI53" s="1"/>
      <c r="AJ53" s="1"/>
      <c r="AK53" s="1"/>
      <c r="AL53" s="1"/>
      <c r="AM53" s="1"/>
      <c r="AN53" s="1"/>
    </row>
    <row r="54" spans="1:40">
      <c r="A54" s="54" t="s">
        <v>124</v>
      </c>
      <c r="B54" s="6">
        <v>3.45</v>
      </c>
      <c r="C54" s="6">
        <v>3.2</v>
      </c>
      <c r="D54" s="6">
        <f t="shared" si="0"/>
        <v>13.3</v>
      </c>
      <c r="E54" s="4">
        <f t="shared" si="1"/>
        <v>34.089999999999996</v>
      </c>
      <c r="F54" s="77"/>
      <c r="G54" s="78"/>
      <c r="H54" s="77"/>
      <c r="I54" s="78"/>
      <c r="J54" s="77"/>
      <c r="K54" s="78"/>
      <c r="L54" s="77"/>
      <c r="M54" s="78"/>
      <c r="N54" s="75">
        <v>1.1000000000000001</v>
      </c>
      <c r="O54" s="76">
        <v>2.1</v>
      </c>
      <c r="P54" s="75">
        <v>2.1</v>
      </c>
      <c r="Q54" s="76">
        <v>2.1</v>
      </c>
      <c r="R54" s="75">
        <v>2.1</v>
      </c>
      <c r="S54" s="76">
        <v>2.1</v>
      </c>
      <c r="T54" s="77"/>
      <c r="U54" s="78"/>
      <c r="V54" s="77"/>
      <c r="W54" s="78"/>
      <c r="X54" s="77"/>
      <c r="Y54" s="78"/>
      <c r="Z54" s="77"/>
      <c r="AA54" s="78"/>
      <c r="AB54" s="77"/>
      <c r="AC54" s="78"/>
      <c r="AG54" s="1"/>
      <c r="AH54" s="1"/>
      <c r="AI54" s="1"/>
      <c r="AJ54" s="1"/>
      <c r="AK54" s="1"/>
      <c r="AL54" s="1"/>
      <c r="AM54" s="1"/>
      <c r="AN54" s="1"/>
    </row>
    <row r="55" spans="1:40">
      <c r="A55" s="54" t="s">
        <v>148</v>
      </c>
      <c r="B55" s="6">
        <v>4.55</v>
      </c>
      <c r="C55" s="6">
        <v>2.35</v>
      </c>
      <c r="D55" s="6">
        <f t="shared" si="0"/>
        <v>13.8</v>
      </c>
      <c r="E55" s="4">
        <f t="shared" si="1"/>
        <v>44.61</v>
      </c>
      <c r="F55" s="77"/>
      <c r="G55" s="78"/>
      <c r="H55" s="77"/>
      <c r="I55" s="78"/>
      <c r="J55" s="77"/>
      <c r="K55" s="78"/>
      <c r="L55" s="77"/>
      <c r="M55" s="78"/>
      <c r="N55" s="75">
        <v>1.1000000000000001</v>
      </c>
      <c r="O55" s="76">
        <v>2.1</v>
      </c>
      <c r="P55" s="77"/>
      <c r="Q55" s="78"/>
      <c r="R55" s="77"/>
      <c r="S55" s="78"/>
      <c r="T55" s="77"/>
      <c r="U55" s="78"/>
      <c r="V55" s="77"/>
      <c r="W55" s="78"/>
      <c r="X55" s="77"/>
      <c r="Y55" s="78"/>
      <c r="Z55" s="77"/>
      <c r="AA55" s="78"/>
      <c r="AB55" s="77"/>
      <c r="AC55" s="78"/>
      <c r="AG55" s="1"/>
      <c r="AH55" s="1"/>
      <c r="AI55" s="1"/>
      <c r="AJ55" s="1"/>
      <c r="AK55" s="1"/>
      <c r="AL55" s="1"/>
      <c r="AM55" s="1"/>
      <c r="AN55" s="1"/>
    </row>
    <row r="56" spans="1:40">
      <c r="A56" s="54" t="s">
        <v>110</v>
      </c>
      <c r="B56" s="6">
        <v>2.9</v>
      </c>
      <c r="C56" s="6">
        <v>1.95</v>
      </c>
      <c r="D56" s="6">
        <f t="shared" si="0"/>
        <v>9.6999999999999993</v>
      </c>
      <c r="E56" s="4">
        <f t="shared" si="1"/>
        <v>30.669999999999995</v>
      </c>
      <c r="F56" s="77"/>
      <c r="G56" s="78"/>
      <c r="H56" s="77"/>
      <c r="I56" s="78"/>
      <c r="J56" s="77"/>
      <c r="K56" s="78"/>
      <c r="L56" s="77"/>
      <c r="M56" s="78"/>
      <c r="N56" s="75">
        <v>1.1000000000000001</v>
      </c>
      <c r="O56" s="76">
        <v>2.1</v>
      </c>
      <c r="P56" s="77"/>
      <c r="Q56" s="78"/>
      <c r="R56" s="77"/>
      <c r="S56" s="78"/>
      <c r="T56" s="77"/>
      <c r="U56" s="78"/>
      <c r="V56" s="77"/>
      <c r="W56" s="78"/>
      <c r="X56" s="77"/>
      <c r="Y56" s="78"/>
      <c r="Z56" s="77"/>
      <c r="AA56" s="78"/>
      <c r="AB56" s="77"/>
      <c r="AC56" s="78"/>
      <c r="AG56" s="1"/>
      <c r="AH56" s="1"/>
      <c r="AI56" s="1"/>
      <c r="AJ56" s="1"/>
      <c r="AK56" s="1"/>
      <c r="AL56" s="1"/>
      <c r="AM56" s="1"/>
      <c r="AN56" s="1"/>
    </row>
    <row r="57" spans="1:40">
      <c r="A57" s="54" t="s">
        <v>122</v>
      </c>
      <c r="B57" s="6">
        <v>1.5</v>
      </c>
      <c r="C57" s="6">
        <v>1.95</v>
      </c>
      <c r="D57" s="6">
        <f t="shared" si="0"/>
        <v>6.9</v>
      </c>
      <c r="E57" s="4">
        <f t="shared" si="1"/>
        <v>23.46</v>
      </c>
      <c r="F57" s="77"/>
      <c r="G57" s="78"/>
      <c r="H57" s="77"/>
      <c r="I57" s="78"/>
      <c r="J57" s="77"/>
      <c r="K57" s="78"/>
      <c r="L57" s="77"/>
      <c r="M57" s="78"/>
      <c r="N57" s="77"/>
      <c r="O57" s="78"/>
      <c r="P57" s="77"/>
      <c r="Q57" s="78"/>
      <c r="R57" s="77"/>
      <c r="S57" s="78"/>
      <c r="T57" s="77"/>
      <c r="U57" s="78"/>
      <c r="V57" s="77"/>
      <c r="W57" s="78"/>
      <c r="X57" s="77"/>
      <c r="Y57" s="78"/>
      <c r="Z57" s="77"/>
      <c r="AA57" s="78"/>
      <c r="AB57" s="77"/>
      <c r="AC57" s="78"/>
      <c r="AG57" s="1"/>
      <c r="AH57" s="1"/>
      <c r="AI57" s="1"/>
      <c r="AJ57" s="1"/>
      <c r="AK57" s="1"/>
      <c r="AL57" s="1"/>
      <c r="AM57" s="1"/>
      <c r="AN57" s="1"/>
    </row>
    <row r="58" spans="1:40">
      <c r="A58" s="54" t="s">
        <v>149</v>
      </c>
      <c r="B58" s="6">
        <v>3.78</v>
      </c>
      <c r="C58" s="6">
        <v>4.45</v>
      </c>
      <c r="D58" s="6">
        <f t="shared" si="0"/>
        <v>16.46</v>
      </c>
      <c r="E58" s="4">
        <f t="shared" si="1"/>
        <v>53.653999999999996</v>
      </c>
      <c r="F58" s="77"/>
      <c r="G58" s="78"/>
      <c r="H58" s="77"/>
      <c r="I58" s="78"/>
      <c r="J58" s="77"/>
      <c r="K58" s="78"/>
      <c r="L58" s="77"/>
      <c r="M58" s="78"/>
      <c r="N58" s="75">
        <v>1.1000000000000001</v>
      </c>
      <c r="O58" s="76">
        <v>2.1</v>
      </c>
      <c r="P58" s="77"/>
      <c r="Q58" s="78"/>
      <c r="R58" s="77"/>
      <c r="S58" s="78"/>
      <c r="T58" s="77"/>
      <c r="U58" s="78"/>
      <c r="V58" s="77"/>
      <c r="W58" s="78"/>
      <c r="X58" s="77"/>
      <c r="Y58" s="78"/>
      <c r="Z58" s="77"/>
      <c r="AA58" s="78"/>
      <c r="AB58" s="77"/>
      <c r="AC58" s="78"/>
      <c r="AG58" s="1"/>
      <c r="AH58" s="1"/>
      <c r="AI58" s="1"/>
      <c r="AJ58" s="1"/>
      <c r="AK58" s="1"/>
      <c r="AL58" s="1"/>
      <c r="AM58" s="1"/>
      <c r="AN58" s="1"/>
    </row>
    <row r="59" spans="1:40">
      <c r="A59" s="54" t="s">
        <v>150</v>
      </c>
      <c r="B59" s="6">
        <v>7.48</v>
      </c>
      <c r="C59" s="6">
        <v>4.4000000000000004</v>
      </c>
      <c r="D59" s="6">
        <f t="shared" si="0"/>
        <v>23.76</v>
      </c>
      <c r="E59" s="4">
        <f t="shared" si="1"/>
        <v>76.374000000000009</v>
      </c>
      <c r="F59" s="77"/>
      <c r="G59" s="78"/>
      <c r="H59" s="77"/>
      <c r="I59" s="78"/>
      <c r="J59" s="77"/>
      <c r="K59" s="78"/>
      <c r="L59" s="77"/>
      <c r="M59" s="78"/>
      <c r="N59" s="75">
        <v>2.1</v>
      </c>
      <c r="O59" s="76">
        <v>2.1</v>
      </c>
      <c r="P59" s="77"/>
      <c r="Q59" s="78"/>
      <c r="R59" s="77"/>
      <c r="S59" s="78"/>
      <c r="T59" s="77"/>
      <c r="U59" s="78"/>
      <c r="V59" s="77"/>
      <c r="W59" s="78"/>
      <c r="X59" s="77"/>
      <c r="Y59" s="78"/>
      <c r="Z59" s="77"/>
      <c r="AA59" s="78"/>
      <c r="AB59" s="77"/>
      <c r="AC59" s="78"/>
      <c r="AG59" s="1"/>
      <c r="AH59" s="1"/>
      <c r="AI59" s="1"/>
      <c r="AJ59" s="1"/>
      <c r="AK59" s="1"/>
      <c r="AL59" s="1"/>
      <c r="AM59" s="1"/>
      <c r="AN59" s="1"/>
    </row>
    <row r="60" spans="1:40">
      <c r="A60" s="54" t="s">
        <v>122</v>
      </c>
      <c r="B60" s="6">
        <v>0.85</v>
      </c>
      <c r="C60" s="6">
        <v>2.0499999999999998</v>
      </c>
      <c r="D60" s="6">
        <f t="shared" si="0"/>
        <v>5.8</v>
      </c>
      <c r="E60" s="4">
        <f t="shared" si="1"/>
        <v>19.72</v>
      </c>
      <c r="F60" s="77"/>
      <c r="G60" s="78"/>
      <c r="H60" s="77"/>
      <c r="I60" s="78"/>
      <c r="J60" s="77"/>
      <c r="K60" s="78"/>
      <c r="L60" s="77"/>
      <c r="M60" s="78"/>
      <c r="N60" s="77"/>
      <c r="O60" s="78"/>
      <c r="P60" s="77"/>
      <c r="Q60" s="78"/>
      <c r="R60" s="77"/>
      <c r="S60" s="78"/>
      <c r="T60" s="77"/>
      <c r="U60" s="78"/>
      <c r="V60" s="77"/>
      <c r="W60" s="78"/>
      <c r="X60" s="77"/>
      <c r="Y60" s="78"/>
      <c r="Z60" s="77"/>
      <c r="AA60" s="78"/>
      <c r="AB60" s="77"/>
      <c r="AC60" s="78"/>
      <c r="AG60" s="1"/>
      <c r="AH60" s="1"/>
      <c r="AI60" s="1"/>
      <c r="AJ60" s="1"/>
      <c r="AK60" s="1"/>
      <c r="AL60" s="1"/>
      <c r="AM60" s="1"/>
      <c r="AN60" s="1"/>
    </row>
    <row r="61" spans="1:40">
      <c r="A61" s="54" t="s">
        <v>151</v>
      </c>
      <c r="B61" s="6">
        <v>2.17</v>
      </c>
      <c r="C61" s="6">
        <v>12.7</v>
      </c>
      <c r="D61" s="6">
        <f t="shared" si="0"/>
        <v>29.74</v>
      </c>
      <c r="E61" s="4">
        <f t="shared" si="1"/>
        <v>97.435999999999979</v>
      </c>
      <c r="F61" s="75">
        <v>2</v>
      </c>
      <c r="G61" s="76">
        <v>1</v>
      </c>
      <c r="H61" s="77"/>
      <c r="I61" s="78"/>
      <c r="J61" s="77"/>
      <c r="K61" s="78"/>
      <c r="L61" s="77"/>
      <c r="M61" s="78"/>
      <c r="N61" s="75">
        <v>0.8</v>
      </c>
      <c r="O61" s="76">
        <v>2.1</v>
      </c>
      <c r="P61" s="77"/>
      <c r="Q61" s="78"/>
      <c r="R61" s="77"/>
      <c r="S61" s="78"/>
      <c r="T61" s="77"/>
      <c r="U61" s="78"/>
      <c r="V61" s="77"/>
      <c r="W61" s="78"/>
      <c r="X61" s="77"/>
      <c r="Y61" s="78"/>
      <c r="Z61" s="77"/>
      <c r="AA61" s="78"/>
      <c r="AB61" s="77"/>
      <c r="AC61" s="78"/>
      <c r="AG61" s="3"/>
      <c r="AH61" s="3"/>
      <c r="AI61" s="3"/>
      <c r="AJ61" s="3"/>
      <c r="AK61" s="3"/>
      <c r="AL61" s="3"/>
      <c r="AM61" s="3"/>
      <c r="AN61" s="3"/>
    </row>
    <row r="62" spans="1:40">
      <c r="A62" s="54" t="s">
        <v>152</v>
      </c>
      <c r="B62" s="6">
        <v>6.6</v>
      </c>
      <c r="C62" s="6">
        <v>12.7</v>
      </c>
      <c r="D62" s="6">
        <f t="shared" si="0"/>
        <v>38.599999999999994</v>
      </c>
      <c r="E62" s="4">
        <f t="shared" si="1"/>
        <v>121.75999999999998</v>
      </c>
      <c r="F62" s="75">
        <v>2</v>
      </c>
      <c r="G62" s="76">
        <v>1</v>
      </c>
      <c r="H62" s="77"/>
      <c r="I62" s="78"/>
      <c r="J62" s="77"/>
      <c r="K62" s="78"/>
      <c r="L62" s="77"/>
      <c r="M62" s="78"/>
      <c r="N62" s="77"/>
      <c r="O62" s="78"/>
      <c r="P62" s="77"/>
      <c r="Q62" s="78"/>
      <c r="R62" s="77"/>
      <c r="S62" s="78"/>
      <c r="T62" s="77"/>
      <c r="U62" s="78"/>
      <c r="V62" s="77"/>
      <c r="W62" s="78"/>
      <c r="X62" s="77"/>
      <c r="Y62" s="78"/>
      <c r="Z62" s="77"/>
      <c r="AA62" s="78"/>
      <c r="AB62" s="75">
        <v>2.2000000000000002</v>
      </c>
      <c r="AC62" s="76">
        <v>3.4</v>
      </c>
    </row>
    <row r="63" spans="1:40">
      <c r="A63" s="54" t="s">
        <v>153</v>
      </c>
      <c r="B63" s="6">
        <v>2.0499999999999998</v>
      </c>
      <c r="C63" s="6">
        <v>12.7</v>
      </c>
      <c r="D63" s="6">
        <f t="shared" si="0"/>
        <v>29.5</v>
      </c>
      <c r="E63" s="4">
        <f t="shared" si="1"/>
        <v>93.99</v>
      </c>
      <c r="F63" s="75">
        <v>2</v>
      </c>
      <c r="G63" s="76">
        <v>1</v>
      </c>
      <c r="H63" s="75">
        <v>2</v>
      </c>
      <c r="I63" s="76">
        <v>1</v>
      </c>
      <c r="J63" s="77"/>
      <c r="K63" s="78"/>
      <c r="L63" s="77"/>
      <c r="M63" s="78"/>
      <c r="N63" s="75">
        <v>1.1000000000000001</v>
      </c>
      <c r="O63" s="76">
        <v>2.1</v>
      </c>
      <c r="P63" s="77"/>
      <c r="Q63" s="78"/>
      <c r="R63" s="77"/>
      <c r="S63" s="78"/>
      <c r="T63" s="77"/>
      <c r="U63" s="78"/>
      <c r="V63" s="77"/>
      <c r="W63" s="78"/>
      <c r="X63" s="77"/>
      <c r="Y63" s="78"/>
      <c r="Z63" s="77"/>
      <c r="AA63" s="78"/>
      <c r="AB63" s="77"/>
      <c r="AC63" s="78"/>
    </row>
    <row r="65" spans="1:29">
      <c r="A65" s="54" t="s">
        <v>24</v>
      </c>
      <c r="B65" s="9"/>
      <c r="C65" s="9"/>
      <c r="D65" s="6">
        <v>178.37</v>
      </c>
      <c r="E65" s="4">
        <f>(D65*($A$3+0.35))-((F65*G65)+(H65*I65)+(J65*K65)+(L65*M65)+(N65*O65)+(P65*Q65)+(R65*S65)+(T65*U65)+(V65*W65)+(X65*Y65)+(Z65*AA65)+(AB65*AC65))</f>
        <v>523.34500000000003</v>
      </c>
      <c r="F65" s="75">
        <f>7*2</f>
        <v>14</v>
      </c>
      <c r="G65" s="76">
        <v>1</v>
      </c>
      <c r="H65" s="75">
        <f>2*2.2</f>
        <v>4.4000000000000004</v>
      </c>
      <c r="I65" s="76">
        <v>1</v>
      </c>
      <c r="J65" s="75">
        <f>3*1</f>
        <v>3</v>
      </c>
      <c r="K65" s="76">
        <v>0.8</v>
      </c>
      <c r="L65" s="75">
        <f>2.75+3+5+13.9+4.15+7.1+3.35+11.55</f>
        <v>50.8</v>
      </c>
      <c r="M65" s="76">
        <v>1</v>
      </c>
      <c r="N65" s="75">
        <f>2*2.1</f>
        <v>4.2</v>
      </c>
      <c r="O65" s="76">
        <v>2.1</v>
      </c>
      <c r="P65" s="75">
        <v>5</v>
      </c>
      <c r="Q65" s="76">
        <v>2.65</v>
      </c>
      <c r="R65" s="75">
        <v>4.8</v>
      </c>
      <c r="S65" s="76">
        <v>2.65</v>
      </c>
      <c r="T65" s="75">
        <v>0.8</v>
      </c>
      <c r="U65" s="76">
        <v>2.1</v>
      </c>
      <c r="V65" s="75">
        <v>7.75</v>
      </c>
      <c r="W65" s="76">
        <v>2.95</v>
      </c>
      <c r="X65" s="75">
        <v>1.05</v>
      </c>
      <c r="Y65" s="76">
        <v>1.8</v>
      </c>
      <c r="Z65" s="75">
        <v>4.8</v>
      </c>
      <c r="AA65" s="76">
        <v>2.65</v>
      </c>
      <c r="AB65" s="77"/>
      <c r="AC65" s="78"/>
    </row>
    <row r="66" spans="1:29">
      <c r="A66" s="54" t="s">
        <v>25</v>
      </c>
      <c r="B66" s="9"/>
      <c r="C66" s="9"/>
      <c r="D66" s="9"/>
      <c r="E66" s="9"/>
      <c r="F66" s="86"/>
      <c r="G66" s="87"/>
      <c r="H66" s="86"/>
      <c r="I66" s="87"/>
      <c r="J66" s="86"/>
      <c r="K66" s="87"/>
      <c r="L66" s="86"/>
      <c r="M66" s="87"/>
      <c r="N66" s="86"/>
      <c r="O66" s="87"/>
      <c r="P66" s="86"/>
      <c r="Q66" s="87"/>
      <c r="R66" s="86"/>
      <c r="S66" s="87"/>
      <c r="T66" s="86"/>
      <c r="U66" s="87"/>
      <c r="V66" s="86"/>
      <c r="W66" s="87"/>
      <c r="X66" s="86"/>
      <c r="Y66" s="87"/>
      <c r="Z66" s="86"/>
      <c r="AA66" s="87"/>
      <c r="AB66" s="86"/>
      <c r="AC66" s="87"/>
    </row>
    <row r="68" spans="1:29">
      <c r="A68" s="8" t="s">
        <v>83</v>
      </c>
      <c r="B68" s="153">
        <f>SUM(E5:E66)</f>
        <v>3552.8865000000005</v>
      </c>
      <c r="C68" s="154"/>
    </row>
    <row r="69" spans="1:29" hidden="1">
      <c r="A69" s="5" t="s">
        <v>372</v>
      </c>
    </row>
  </sheetData>
  <mergeCells count="15">
    <mergeCell ref="A1:AC1"/>
    <mergeCell ref="X3:Y3"/>
    <mergeCell ref="Z3:AA3"/>
    <mergeCell ref="AB3:AC3"/>
    <mergeCell ref="B68:C68"/>
    <mergeCell ref="F2:AC2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36</vt:i4>
      </vt:variant>
      <vt:variant>
        <vt:lpstr>Intervalos nomeados</vt:lpstr>
      </vt:variant>
      <vt:variant>
        <vt:i4>7</vt:i4>
      </vt:variant>
    </vt:vector>
  </HeadingPairs>
  <TitlesOfParts>
    <vt:vector size="43" baseType="lpstr">
      <vt:lpstr>Memória</vt:lpstr>
      <vt:lpstr>Alv15</vt:lpstr>
      <vt:lpstr>Alv20</vt:lpstr>
      <vt:lpstr>Encun</vt:lpstr>
      <vt:lpstr>Ver_Jan</vt:lpstr>
      <vt:lpstr>Con_Ver</vt:lpstr>
      <vt:lpstr>Ver_Por</vt:lpstr>
      <vt:lpstr>Cob</vt:lpstr>
      <vt:lpstr>Chap_Par</vt:lpstr>
      <vt:lpstr>Reb_Par</vt:lpstr>
      <vt:lpstr>Embç_Par</vt:lpstr>
      <vt:lpstr>Cerâm_Par</vt:lpstr>
      <vt:lpstr>Selad_Par</vt:lpstr>
      <vt:lpstr>Emass_Par</vt:lpstr>
      <vt:lpstr>Pint_Epox_Par</vt:lpstr>
      <vt:lpstr>Pint_Epox_Demarc</vt:lpstr>
      <vt:lpstr>Pint_Acr_Par</vt:lpstr>
      <vt:lpstr>Chap_Tet</vt:lpstr>
      <vt:lpstr>Reb_Tet</vt:lpstr>
      <vt:lpstr>Emass_Tet</vt:lpstr>
      <vt:lpstr>Pint_Tet</vt:lpstr>
      <vt:lpstr>For_Ges</vt:lpstr>
      <vt:lpstr>Emass_For_Ges</vt:lpstr>
      <vt:lpstr>Pint_For_Ges</vt:lpstr>
      <vt:lpstr>Pis_Porce</vt:lpstr>
      <vt:lpstr>Pis_Cer</vt:lpstr>
      <vt:lpstr>Pis_Conc_Poli</vt:lpstr>
      <vt:lpstr>Pis_Grani</vt:lpstr>
      <vt:lpstr>Con_Pis</vt:lpstr>
      <vt:lpstr>Piso_Borracha</vt:lpstr>
      <vt:lpstr>Passeio</vt:lpstr>
      <vt:lpstr>Soleira</vt:lpstr>
      <vt:lpstr>Rodape</vt:lpstr>
      <vt:lpstr>Esquad</vt:lpstr>
      <vt:lpstr>Diver</vt:lpstr>
      <vt:lpstr>Rev_Cer_Fachada</vt:lpstr>
      <vt:lpstr>Emass_For_Ges!Area_de_impressao</vt:lpstr>
      <vt:lpstr>Encun!Area_de_impressao</vt:lpstr>
      <vt:lpstr>Esquad!Area_de_impressao</vt:lpstr>
      <vt:lpstr>Pint_For_Ges!Area_de_impressao</vt:lpstr>
      <vt:lpstr>'Alv15'!Titulos_de_impressao</vt:lpstr>
      <vt:lpstr>Chap_Par!Titulos_de_impressao</vt:lpstr>
      <vt:lpstr>Encun!Titulos_de_impressao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2018-11-07T01:52:06Z</cp:lastPrinted>
  <dcterms:created xsi:type="dcterms:W3CDTF">2018-03-26T11:25:45Z</dcterms:created>
  <dcterms:modified xsi:type="dcterms:W3CDTF">2018-11-07T01:52:30Z</dcterms:modified>
</cp:coreProperties>
</file>