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60" windowWidth="12255" windowHeight="7155" tabRatio="903" activeTab="1"/>
  </bookViews>
  <sheets>
    <sheet name="ORÇAMENTO" sheetId="104" r:id="rId1"/>
    <sheet name="C.F.F GERAL " sheetId="36" r:id="rId2"/>
    <sheet name="BASE" sheetId="114" state="hidden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\i" localSheetId="2">'[1]Planilha de Preço'!#REF!</definedName>
    <definedName name="\i" localSheetId="0">'[1]Planilha de Preço'!#REF!</definedName>
    <definedName name="\i">'[1]Planilha de Preço'!#REF!</definedName>
    <definedName name="\l" localSheetId="2">'[1]Planilha de Preço'!#REF!</definedName>
    <definedName name="\l" localSheetId="0">'[1]Planilha de Preço'!#REF!</definedName>
    <definedName name="\l">'[1]Planilha de Preço'!#REF!</definedName>
    <definedName name="\s" localSheetId="2">'[1]Planilha de Preço'!#REF!</definedName>
    <definedName name="\s" localSheetId="0">'[1]Planilha de Preço'!#REF!</definedName>
    <definedName name="\s">'[1]Planilha de Preço'!#REF!</definedName>
    <definedName name="\t" localSheetId="2">'[1]Planilha de Preço'!#REF!</definedName>
    <definedName name="\t" localSheetId="0">'[1]Planilha de Preço'!#REF!</definedName>
    <definedName name="\t">'[1]Planilha de Preço'!#REF!</definedName>
    <definedName name="_AA100000" localSheetId="2">#REF!</definedName>
    <definedName name="_AA100000" localSheetId="0">#REF!</definedName>
    <definedName name="_AA100000">#REF!</definedName>
    <definedName name="_Fill" localSheetId="2" hidden="1">[2]Orçamento!#REF!</definedName>
    <definedName name="_Fill" localSheetId="0" hidden="1">#REF!</definedName>
    <definedName name="_Fill" hidden="1">#REF!</definedName>
    <definedName name="_xlnm._FilterDatabase" localSheetId="2" hidden="1">#REF!</definedName>
    <definedName name="_xlnm._FilterDatabase" localSheetId="0" hidden="1">ORÇAMENTO!$A$18:$M$36</definedName>
    <definedName name="_xlnm._FilterDatabase" hidden="1">#REF!</definedName>
    <definedName name="_Key1" localSheetId="2" hidden="1">#REF!</definedName>
    <definedName name="_Key1" localSheetId="0" hidden="1">#REF!</definedName>
    <definedName name="_Key1" hidden="1">#REF!</definedName>
    <definedName name="_Key2" localSheetId="2" hidden="1">#REF!</definedName>
    <definedName name="_Key2" localSheetId="0" hidden="1">#REF!</definedName>
    <definedName name="_Key2" hidden="1">#REF!</definedName>
    <definedName name="_LOC10" localSheetId="2">[2]Orçamento!#REF!</definedName>
    <definedName name="_LOC10" localSheetId="0">[2]Orçamento!#REF!</definedName>
    <definedName name="_LOC10">[2]Orçamento!#REF!</definedName>
    <definedName name="_LOC11" localSheetId="2">[2]Orçamento!#REF!</definedName>
    <definedName name="_LOC11" localSheetId="0">[2]Orçamento!#REF!</definedName>
    <definedName name="_LOC11">[2]Orçamento!#REF!</definedName>
    <definedName name="_LOC12" localSheetId="2">[2]Orçamento!#REF!</definedName>
    <definedName name="_LOC12" localSheetId="0">[2]Orçamento!#REF!</definedName>
    <definedName name="_LOC12">[2]Orçamento!#REF!</definedName>
    <definedName name="_LOC13" localSheetId="2">[2]Orçamento!#REF!</definedName>
    <definedName name="_LOC13" localSheetId="0">[2]Orçamento!#REF!</definedName>
    <definedName name="_LOC13">[2]Orçamento!#REF!</definedName>
    <definedName name="_LOC14" localSheetId="2">[2]Orçamento!#REF!</definedName>
    <definedName name="_LOC14" localSheetId="0">[2]Orçamento!#REF!</definedName>
    <definedName name="_LOC14">[2]Orçamento!#REF!</definedName>
    <definedName name="_LOC15" localSheetId="2">[2]Orçamento!#REF!</definedName>
    <definedName name="_LOC15" localSheetId="0">[2]Orçamento!#REF!</definedName>
    <definedName name="_LOC15">[2]Orçamento!#REF!</definedName>
    <definedName name="_LOC16" localSheetId="2">[2]Orçamento!#REF!</definedName>
    <definedName name="_LOC16" localSheetId="0">[2]Orçamento!#REF!</definedName>
    <definedName name="_LOC16">[2]Orçamento!#REF!</definedName>
    <definedName name="_LOC17" localSheetId="2">[2]Orçamento!#REF!</definedName>
    <definedName name="_LOC17" localSheetId="0">[2]Orçamento!#REF!</definedName>
    <definedName name="_LOC17">[2]Orçamento!#REF!</definedName>
    <definedName name="_LOC18" localSheetId="2">[2]Orçamento!#REF!</definedName>
    <definedName name="_LOC18" localSheetId="0">[2]Orçamento!#REF!</definedName>
    <definedName name="_LOC18">[2]Orçamento!#REF!</definedName>
    <definedName name="_LOC19" localSheetId="2">[2]Orçamento!#REF!</definedName>
    <definedName name="_LOC19" localSheetId="0">[2]Orçamento!#REF!</definedName>
    <definedName name="_LOC19">[2]Orçamento!#REF!</definedName>
    <definedName name="_LOC2" localSheetId="2">[2]Orçamento!#REF!</definedName>
    <definedName name="_LOC2" localSheetId="0">[2]Orçamento!#REF!</definedName>
    <definedName name="_LOC2">[2]Orçamento!#REF!</definedName>
    <definedName name="_LOC20" localSheetId="2">[2]Orçamento!#REF!</definedName>
    <definedName name="_LOC20" localSheetId="0">[2]Orçamento!#REF!</definedName>
    <definedName name="_LOC20">[2]Orçamento!#REF!</definedName>
    <definedName name="_LOC21" localSheetId="2">[2]Orçamento!#REF!</definedName>
    <definedName name="_LOC21" localSheetId="0">[2]Orçamento!#REF!</definedName>
    <definedName name="_LOC21">[2]Orçamento!#REF!</definedName>
    <definedName name="_LOC22" localSheetId="2">[2]Orçamento!#REF!</definedName>
    <definedName name="_LOC22" localSheetId="0">[2]Orçamento!#REF!</definedName>
    <definedName name="_LOC22">[2]Orçamento!#REF!</definedName>
    <definedName name="_LOC23" localSheetId="2">[2]Orçamento!#REF!</definedName>
    <definedName name="_LOC23" localSheetId="0">[2]Orçamento!#REF!</definedName>
    <definedName name="_LOC23">[2]Orçamento!#REF!</definedName>
    <definedName name="_LOC24" localSheetId="2">[2]Orçamento!#REF!</definedName>
    <definedName name="_LOC24" localSheetId="0">[2]Orçamento!#REF!</definedName>
    <definedName name="_LOC24">[2]Orçamento!#REF!</definedName>
    <definedName name="_LOC25" localSheetId="2">[2]Orçamento!#REF!</definedName>
    <definedName name="_LOC25" localSheetId="0">[2]Orçamento!#REF!</definedName>
    <definedName name="_LOC25">[2]Orçamento!#REF!</definedName>
    <definedName name="_LOC26" localSheetId="2">[2]Orçamento!#REF!</definedName>
    <definedName name="_LOC26" localSheetId="0">[2]Orçamento!#REF!</definedName>
    <definedName name="_LOC26">[2]Orçamento!#REF!</definedName>
    <definedName name="_LOC27" localSheetId="2">[2]Orçamento!#REF!</definedName>
    <definedName name="_LOC27" localSheetId="0">[2]Orçamento!#REF!</definedName>
    <definedName name="_LOC27">[2]Orçamento!#REF!</definedName>
    <definedName name="_LOC28" localSheetId="2">[2]Orçamento!#REF!</definedName>
    <definedName name="_LOC28" localSheetId="0">[2]Orçamento!#REF!</definedName>
    <definedName name="_LOC28">[2]Orçamento!#REF!</definedName>
    <definedName name="_LOC29" localSheetId="2">[2]Orçamento!#REF!</definedName>
    <definedName name="_LOC29" localSheetId="0">[2]Orçamento!#REF!</definedName>
    <definedName name="_LOC29">[2]Orçamento!#REF!</definedName>
    <definedName name="_LOC3" localSheetId="2">[2]Orçamento!#REF!</definedName>
    <definedName name="_LOC3" localSheetId="0">[2]Orçamento!#REF!</definedName>
    <definedName name="_LOC3">[2]Orçamento!#REF!</definedName>
    <definedName name="_LOC30" localSheetId="2">[2]Orçamento!#REF!</definedName>
    <definedName name="_LOC30" localSheetId="0">[2]Orçamento!#REF!</definedName>
    <definedName name="_LOC30">[2]Orçamento!#REF!</definedName>
    <definedName name="_LOC31" localSheetId="2">[2]Orçamento!#REF!</definedName>
    <definedName name="_LOC31" localSheetId="0">[2]Orçamento!#REF!</definedName>
    <definedName name="_LOC31">[2]Orçamento!#REF!</definedName>
    <definedName name="_LOC32" localSheetId="2">[2]Orçamento!#REF!</definedName>
    <definedName name="_LOC32" localSheetId="0">[2]Orçamento!#REF!</definedName>
    <definedName name="_LOC32">[2]Orçamento!#REF!</definedName>
    <definedName name="_LOC33" localSheetId="2">[2]Orçamento!#REF!</definedName>
    <definedName name="_LOC33" localSheetId="0">[2]Orçamento!#REF!</definedName>
    <definedName name="_LOC33">[2]Orçamento!#REF!</definedName>
    <definedName name="_LOC34" localSheetId="2">[2]Orçamento!#REF!</definedName>
    <definedName name="_LOC34" localSheetId="0">[2]Orçamento!#REF!</definedName>
    <definedName name="_LOC34">[2]Orçamento!#REF!</definedName>
    <definedName name="_LOC35" localSheetId="2">[2]Orçamento!#REF!</definedName>
    <definedName name="_LOC35" localSheetId="0">[2]Orçamento!#REF!</definedName>
    <definedName name="_LOC35">[2]Orçamento!#REF!</definedName>
    <definedName name="_LOC36" localSheetId="2">[2]Orçamento!#REF!</definedName>
    <definedName name="_LOC36" localSheetId="0">[2]Orçamento!#REF!</definedName>
    <definedName name="_LOC36">[2]Orçamento!#REF!</definedName>
    <definedName name="_LOC37" localSheetId="2">[2]Orçamento!#REF!</definedName>
    <definedName name="_LOC37" localSheetId="0">[2]Orçamento!#REF!</definedName>
    <definedName name="_LOC37">[2]Orçamento!#REF!</definedName>
    <definedName name="_LOC38" localSheetId="2">[2]Orçamento!#REF!</definedName>
    <definedName name="_LOC38" localSheetId="0">[2]Orçamento!#REF!</definedName>
    <definedName name="_LOC38">[2]Orçamento!#REF!</definedName>
    <definedName name="_LOC39" localSheetId="2">[2]Orçamento!#REF!</definedName>
    <definedName name="_LOC39" localSheetId="0">[2]Orçamento!#REF!</definedName>
    <definedName name="_LOC39">[2]Orçamento!#REF!</definedName>
    <definedName name="_LOC4" localSheetId="2">[2]Orçamento!#REF!</definedName>
    <definedName name="_LOC4" localSheetId="0">[2]Orçamento!#REF!</definedName>
    <definedName name="_LOC4">[2]Orçamento!#REF!</definedName>
    <definedName name="_LOC40" localSheetId="2">[2]Orçamento!#REF!</definedName>
    <definedName name="_LOC40" localSheetId="0">[2]Orçamento!#REF!</definedName>
    <definedName name="_LOC40">[2]Orçamento!#REF!</definedName>
    <definedName name="_LOC41" localSheetId="2">[2]Orçamento!#REF!</definedName>
    <definedName name="_LOC41" localSheetId="0">[2]Orçamento!#REF!</definedName>
    <definedName name="_LOC41">[2]Orçamento!#REF!</definedName>
    <definedName name="_LOC42" localSheetId="2">[2]Orçamento!#REF!</definedName>
    <definedName name="_LOC42" localSheetId="0">[2]Orçamento!#REF!</definedName>
    <definedName name="_LOC42">[2]Orçamento!#REF!</definedName>
    <definedName name="_LOC5" localSheetId="2">[2]Orçamento!#REF!</definedName>
    <definedName name="_LOC5" localSheetId="0">[2]Orçamento!#REF!</definedName>
    <definedName name="_LOC5">[2]Orçamento!#REF!</definedName>
    <definedName name="_LOC6" localSheetId="2">[2]Orçamento!#REF!</definedName>
    <definedName name="_LOC6" localSheetId="0">[2]Orçamento!#REF!</definedName>
    <definedName name="_LOC6">[2]Orçamento!#REF!</definedName>
    <definedName name="_LOC7" localSheetId="2">[2]Orçamento!#REF!</definedName>
    <definedName name="_LOC7" localSheetId="0">[2]Orçamento!#REF!</definedName>
    <definedName name="_LOC7">[2]Orçamento!#REF!</definedName>
    <definedName name="_LOC8" localSheetId="2">[2]Orçamento!#REF!</definedName>
    <definedName name="_LOC8" localSheetId="0">[2]Orçamento!#REF!</definedName>
    <definedName name="_LOC8">[2]Orçamento!#REF!</definedName>
    <definedName name="_LOC9" localSheetId="2">[2]Orçamento!#REF!</definedName>
    <definedName name="_LOC9" localSheetId="0">[2]Orçamento!#REF!</definedName>
    <definedName name="_LOC9">[2]Orçamento!#REF!</definedName>
    <definedName name="_Order1" hidden="1">255</definedName>
    <definedName name="_Order2" hidden="1">255</definedName>
    <definedName name="_R" localSheetId="2">'[1]Planilha de Preço'!#REF!</definedName>
    <definedName name="_R" localSheetId="0">'[1]Planilha de Preço'!#REF!</definedName>
    <definedName name="_R">'[1]Planilha de Preço'!#REF!</definedName>
    <definedName name="_Sort" localSheetId="2" hidden="1">#REF!</definedName>
    <definedName name="_Sort" localSheetId="0" hidden="1">#REF!</definedName>
    <definedName name="_Sort" hidden="1">#REF!</definedName>
    <definedName name="AC" localSheetId="2">#REF!</definedName>
    <definedName name="AC" localSheetId="0">#REF!</definedName>
    <definedName name="AC">#REF!</definedName>
    <definedName name="ademir" hidden="1">{#N/A,#N/A,FALSE,"Cronograma";#N/A,#N/A,FALSE,"Cronogr. 2"}</definedName>
    <definedName name="AL" localSheetId="2">#REF!</definedName>
    <definedName name="AL" localSheetId="0">#REF!</definedName>
    <definedName name="AL">#REF!</definedName>
    <definedName name="_xlnm.Print_Area" localSheetId="2">BASE!$A$1:$G$49</definedName>
    <definedName name="_xlnm.Print_Area" localSheetId="1">'C.F.F GERAL '!$A$1:$J$45</definedName>
    <definedName name="_xlnm.Print_Area" localSheetId="0">ORÇAMENTO!$B$1:$J$284</definedName>
    <definedName name="_xlnm.Print_Area">#REF!</definedName>
    <definedName name="Área_impressão_IM" localSheetId="2">'[1]Planilha de Preço'!#REF!</definedName>
    <definedName name="Área_impressão_IM" localSheetId="0">'[1]Planilha de Preço'!#REF!</definedName>
    <definedName name="Área_impressão_IM">'[1]Planilha de Preço'!#REF!</definedName>
    <definedName name="B.01.05.10.10" localSheetId="2">#REF!</definedName>
    <definedName name="B.01.05.10.10" localSheetId="0">#REF!</definedName>
    <definedName name="B.01.05.10.10">#REF!</definedName>
    <definedName name="_xlnm.Database" localSheetId="2">#REF!</definedName>
    <definedName name="_xlnm.Database" localSheetId="0">#REF!</definedName>
    <definedName name="_xlnm.Database">#REF!</definedName>
    <definedName name="bosta" hidden="1">{#N/A,#N/A,FALSE,"Cronograma";#N/A,#N/A,FALSE,"Cronogr. 2"}</definedName>
    <definedName name="CA´L" hidden="1">{#N/A,#N/A,FALSE,"Cronograma";#N/A,#N/A,FALSE,"Cronogr. 2"}</definedName>
    <definedName name="CD" localSheetId="2">[3]B.D.I.!#REF!</definedName>
    <definedName name="CD" localSheetId="0">[3]B.D.I.!#REF!</definedName>
    <definedName name="CD">[3]B.D.I.!#REF!</definedName>
    <definedName name="COMPOSICAO" localSheetId="2">#REF!</definedName>
    <definedName name="COMPOSICAO" localSheetId="0">#REF!</definedName>
    <definedName name="COMPOSICAO">#REF!</definedName>
    <definedName name="concorrentes" hidden="1">{#N/A,#N/A,FALSE,"Cronograma";#N/A,#N/A,FALSE,"Cronogr. 2"}</definedName>
    <definedName name="CP" localSheetId="2">#REF!</definedName>
    <definedName name="CP" localSheetId="0">#REF!</definedName>
    <definedName name="CP">#REF!</definedName>
    <definedName name="CS" localSheetId="2">[3]B.D.I.!#REF!</definedName>
    <definedName name="CS" localSheetId="0">[3]B.D.I.!#REF!</definedName>
    <definedName name="CS">[3]B.D.I.!#REF!</definedName>
    <definedName name="CT" localSheetId="2">#REF!</definedName>
    <definedName name="CT" localSheetId="0">#REF!</definedName>
    <definedName name="CT">#REF!</definedName>
    <definedName name="DSADA">[4]B.D.I.!$D$12</definedName>
    <definedName name="EV" localSheetId="2">#REF!</definedName>
    <definedName name="EV" localSheetId="0">#REF!</definedName>
    <definedName name="EV">#REF!</definedName>
    <definedName name="FF" localSheetId="2" hidden="1">#REF!</definedName>
    <definedName name="FF" localSheetId="0" hidden="1">#REF!</definedName>
    <definedName name="FF" hidden="1">#REF!</definedName>
    <definedName name="FIM" localSheetId="2">#REF!</definedName>
    <definedName name="FIM" localSheetId="0">#REF!</definedName>
    <definedName name="FIM">#REF!</definedName>
    <definedName name="FRETE">'[5]Preços insumos'!$F$11</definedName>
    <definedName name="GUYJTYUJUYJU" localSheetId="2">#REF!</definedName>
    <definedName name="GUYJTYUJUYJU" localSheetId="0">#REF!</definedName>
    <definedName name="GUYJTYUJUYJU">#REF!</definedName>
    <definedName name="IC" localSheetId="2">[3]B.D.I.!#REF!</definedName>
    <definedName name="IC" localSheetId="0">[3]B.D.I.!#REF!</definedName>
    <definedName name="IC">[3]B.D.I.!#REF!</definedName>
    <definedName name="IGUAÇU" localSheetId="2">#REF!</definedName>
    <definedName name="IGUAÇU" localSheetId="0">#REF!</definedName>
    <definedName name="IGUAÇU">#REF!</definedName>
    <definedName name="IMPR" localSheetId="2">[2]Orçamento!#REF!</definedName>
    <definedName name="IMPR" localSheetId="0">[2]Orçamento!#REF!</definedName>
    <definedName name="IMPR">[2]Orçamento!#REF!</definedName>
    <definedName name="IMPR1" localSheetId="2">[2]Orçamento!#REF!</definedName>
    <definedName name="IMPR1" localSheetId="0">[2]Orçamento!#REF!</definedName>
    <definedName name="IMPR1">[2]Orçamento!#REF!</definedName>
    <definedName name="IS" localSheetId="2">#REF!</definedName>
    <definedName name="IS" localSheetId="0">#REF!</definedName>
    <definedName name="IS">#REF!</definedName>
    <definedName name="Kilo_da_Armação">'[6]Preços insumos'!$F$11</definedName>
    <definedName name="LB" localSheetId="2">#REF!</definedName>
    <definedName name="LB" localSheetId="0">#REF!</definedName>
    <definedName name="LB">#REF!</definedName>
    <definedName name="leizão">[7]Total!$D$27</definedName>
    <definedName name="Macro1" localSheetId="2">BASE!Macro1</definedName>
    <definedName name="Macro1">[0]!Macro1</definedName>
    <definedName name="MACROS" localSheetId="2">'[1]Planilha de Preço'!#REF!</definedName>
    <definedName name="MACROS" localSheetId="0">'[1]Planilha de Preço'!#REF!</definedName>
    <definedName name="MACROS">'[1]Planilha de Preço'!#REF!</definedName>
    <definedName name="MAYSA" localSheetId="2">#REF!</definedName>
    <definedName name="MAYSA" localSheetId="0">#REF!</definedName>
    <definedName name="MAYSA">#REF!</definedName>
    <definedName name="MEMORIA" localSheetId="2">#REF!</definedName>
    <definedName name="MEMORIA" localSheetId="0">#REF!</definedName>
    <definedName name="MEMORIA">#REF!</definedName>
    <definedName name="Mobilização" localSheetId="2">BASE!Mobilização</definedName>
    <definedName name="Mobilização">[0]!Mobilização</definedName>
    <definedName name="multi">[8]OK!$A$27</definedName>
    <definedName name="mumu">[7]Prog!$B$4</definedName>
    <definedName name="nova" localSheetId="2">#REF!</definedName>
    <definedName name="nova" localSheetId="0">#REF!</definedName>
    <definedName name="nova">#REF!</definedName>
    <definedName name="OBTENÇÃO">[4]B.D.I.!$D$7</definedName>
    <definedName name="oi" localSheetId="2">#REF!</definedName>
    <definedName name="oi" localSheetId="0">#REF!</definedName>
    <definedName name="oi">#REF!</definedName>
    <definedName name="over" localSheetId="2">#REF!</definedName>
    <definedName name="over" localSheetId="1">#REF!</definedName>
    <definedName name="over" localSheetId="0">#REF!</definedName>
    <definedName name="over">#REF!</definedName>
    <definedName name="over1" localSheetId="2">#REF!</definedName>
    <definedName name="over1" localSheetId="0">#REF!</definedName>
    <definedName name="over1">#REF!</definedName>
    <definedName name="PMI" localSheetId="2">#REF!</definedName>
    <definedName name="PMI" localSheetId="0">#REF!</definedName>
    <definedName name="PMI">#REF!</definedName>
    <definedName name="Popular" hidden="1">{#N/A,#N/A,FALSE,"Cronograma";#N/A,#N/A,FALSE,"Cronogr. 2"}</definedName>
    <definedName name="Preço_Unit_Chácaras" localSheetId="2">#REF!</definedName>
    <definedName name="Preço_Unit_Chácaras" localSheetId="0">#REF!</definedName>
    <definedName name="Preço_Unit_Chácaras">#REF!</definedName>
    <definedName name="Print_Area_MI" localSheetId="2">[7]Memorial!#REF!</definedName>
    <definedName name="Print_Area_MI" localSheetId="0">[7]Memorial!#REF!</definedName>
    <definedName name="Print_Area_MI">[7]Memorial!#REF!</definedName>
    <definedName name="PV" localSheetId="2">#REF!</definedName>
    <definedName name="PV" localSheetId="0">#REF!</definedName>
    <definedName name="PV">#REF!</definedName>
    <definedName name="Quant_Chácaras" localSheetId="2">#REF!</definedName>
    <definedName name="Quant_Chácaras" localSheetId="0">#REF!</definedName>
    <definedName name="Quant_Chácaras">#REF!</definedName>
    <definedName name="QUARTZ" localSheetId="2">#REF!</definedName>
    <definedName name="QUARTZ" localSheetId="0">#REF!</definedName>
    <definedName name="QUARTZ">#REF!</definedName>
    <definedName name="Receita_Chácaras" localSheetId="2">#REF!</definedName>
    <definedName name="Receita_Chácaras" localSheetId="0">#REF!</definedName>
    <definedName name="Receita_Chácaras">#REF!</definedName>
    <definedName name="rio" hidden="1">{#N/A,#N/A,FALSE,"Cronograma";#N/A,#N/A,FALSE,"Cronogr. 2"}</definedName>
    <definedName name="RUA" localSheetId="2">#REF!</definedName>
    <definedName name="RUA" localSheetId="0">#REF!</definedName>
    <definedName name="RUA">#REF!</definedName>
    <definedName name="SD" hidden="1">{#N/A,#N/A,FALSE,"MATERIAIS"}</definedName>
    <definedName name="solver_lin" hidden="1">0</definedName>
    <definedName name="solver_num" hidden="1">0</definedName>
    <definedName name="solver_opt" localSheetId="2" hidden="1">#REF!</definedName>
    <definedName name="solver_opt" localSheetId="0" hidden="1">#REF!</definedName>
    <definedName name="solver_opt" hidden="1">#REF!</definedName>
    <definedName name="solver_tmp" localSheetId="2" hidden="1">#REF!</definedName>
    <definedName name="solver_tmp" localSheetId="0" hidden="1">#REF!</definedName>
    <definedName name="solver_tmp" hidden="1">#REF!</definedName>
    <definedName name="solver_typ" hidden="1">1</definedName>
    <definedName name="solver_val" hidden="1">0</definedName>
    <definedName name="ss" hidden="1">{#N/A,#N/A,FALSE,"Cronograma";#N/A,#N/A,FALSE,"Cronogr. 2"}</definedName>
    <definedName name="t_meso_2" localSheetId="2">#REF!</definedName>
    <definedName name="t_meso_2" localSheetId="0">#REF!</definedName>
    <definedName name="t_meso_2">#REF!</definedName>
    <definedName name="t_super_est_2" localSheetId="2">#REF!</definedName>
    <definedName name="t_super_est_2" localSheetId="0">#REF!</definedName>
    <definedName name="t_super_est_2">#REF!</definedName>
    <definedName name="Tela_1_PB_159___Ø_800_a_1000mm">'[9]Preços insumos'!$F$6</definedName>
    <definedName name="Tela_2_PB_196___Ø_1200mm">'[9]Preços insumos'!$F$8</definedName>
    <definedName name="Tela_3_PB_246___Ø_1500mm">'[9]Preços insumos'!$F$9</definedName>
    <definedName name="TESTE" localSheetId="2">'[1]Planilha de Preço'!#REF!</definedName>
    <definedName name="TESTE" localSheetId="0">'[1]Planilha de Preço'!#REF!</definedName>
    <definedName name="TESTE">'[1]Planilha de Preço'!#REF!</definedName>
    <definedName name="_xlnm.Print_Titles" localSheetId="2">#REF!</definedName>
    <definedName name="_xlnm.Print_Titles" localSheetId="1">'C.F.F GERAL '!$A:$D</definedName>
    <definedName name="_xlnm.Print_Titles" localSheetId="0">ORÇAMENTO!$B:$E,ORÇAMENTO!$1:$26</definedName>
    <definedName name="_xlnm.Print_Titles">#REF!</definedName>
    <definedName name="tot_infra_1" localSheetId="2">#REF!</definedName>
    <definedName name="tot_infra_1" localSheetId="0">#REF!</definedName>
    <definedName name="tot_infra_1">#REF!</definedName>
    <definedName name="TOTAL_GERAL" localSheetId="2">#REF!</definedName>
    <definedName name="TOTAL_GERAL" localSheetId="0">#REF!</definedName>
    <definedName name="TOTAL_GERAL">#REF!</definedName>
    <definedName name="TOTALCRONOGRA" localSheetId="2">#REF!</definedName>
    <definedName name="TOTALCRONOGRA" localSheetId="0">#REF!</definedName>
    <definedName name="TOTALCRONOGRA">#REF!</definedName>
    <definedName name="VENTO" localSheetId="2">#REF!</definedName>
    <definedName name="VENTO" localSheetId="0">#REF!</definedName>
    <definedName name="VENTO">#REF!</definedName>
    <definedName name="wrn.COLETAS._.DE._.EQUIPAMENTOS." localSheetId="2" hidden="1">{#N/A,#N/A,FALSE,"EQUIPAMENTOS"}</definedName>
    <definedName name="wrn.COLETAS._.DE._.EQUIPAMENTOS." hidden="1">{#N/A,#N/A,FALSE,"EQUIPAMENTOS"}</definedName>
    <definedName name="wrn.COLETAS._.DE._.MATERIAIS." localSheetId="2" hidden="1">{#N/A,#N/A,FALSE,"SOTREQ"}</definedName>
    <definedName name="wrn.COLETAS._.DE._.MATERIAIS." hidden="1">{#N/A,#N/A,FALSE,"SOTREQ"}</definedName>
    <definedName name="wrn.COMP._.EQUIP." localSheetId="2" hidden="1">{#N/A,#N/A,FALSE,"EQUIPAMENTOS"}</definedName>
    <definedName name="wrn.COMP._.EQUIP." hidden="1">{#N/A,#N/A,FALSE,"EQUIPAMENTOS"}</definedName>
    <definedName name="wrn.COMP._.MATERIAIS." localSheetId="2" hidden="1">{#N/A,#N/A,FALSE,"MATERIAIS"}</definedName>
    <definedName name="wrn.COMP._.MATERIAIS." hidden="1">{#N/A,#N/A,FALSE,"MATERIAIS"}</definedName>
    <definedName name="wrn.Cronograma." hidden="1">{#N/A,#N/A,FALSE,"Cronograma";#N/A,#N/A,FALSE,"Cronogr. 2"}</definedName>
    <definedName name="wrn.GERAL." hidden="1">{#N/A,#N/A,FALSE,"ET-CAPA";#N/A,#N/A,FALSE,"ET-PAG1";#N/A,#N/A,FALSE,"ET-PAG2";#N/A,#N/A,FALSE,"ET-PAG3";#N/A,#N/A,FALSE,"ET-PAG4";#N/A,#N/A,FALSE,"ET-PAG5"}</definedName>
    <definedName name="wrn.PENDENCIAS." hidden="1">{#N/A,#N/A,FALSE,"GERAL";#N/A,#N/A,FALSE,"012-96";#N/A,#N/A,FALSE,"018-96";#N/A,#N/A,FALSE,"027-96";#N/A,#N/A,FALSE,"059-96";#N/A,#N/A,FALSE,"076-96";#N/A,#N/A,FALSE,"019-97";#N/A,#N/A,FALSE,"021-97";#N/A,#N/A,FALSE,"022-97";#N/A,#N/A,FALSE,"028-97"}</definedName>
    <definedName name="wrn.PNEUS." localSheetId="2" hidden="1">{#N/A,#N/A,FALSE,"EQUIPAMENTOS"}</definedName>
    <definedName name="wrn.PNEUS." hidden="1">{#N/A,#N/A,FALSE,"EQUIPAMENTOS"}</definedName>
  </definedNames>
  <calcPr calcId="125725"/>
</workbook>
</file>

<file path=xl/calcChain.xml><?xml version="1.0" encoding="utf-8"?>
<calcChain xmlns="http://schemas.openxmlformats.org/spreadsheetml/2006/main">
  <c r="F115" i="104"/>
  <c r="F117" s="1"/>
  <c r="F114"/>
  <c r="F116" s="1"/>
  <c r="G190" l="1"/>
  <c r="F190"/>
  <c r="C190"/>
  <c r="G189"/>
  <c r="F189"/>
  <c r="C189"/>
  <c r="G188"/>
  <c r="F188"/>
  <c r="C188"/>
  <c r="G187"/>
  <c r="F187"/>
  <c r="C187"/>
  <c r="G186"/>
  <c r="F186"/>
  <c r="C186"/>
  <c r="G185"/>
  <c r="C185"/>
  <c r="G184"/>
  <c r="C184"/>
  <c r="G183"/>
  <c r="F183"/>
  <c r="C183"/>
  <c r="G182"/>
  <c r="F182"/>
  <c r="C182"/>
  <c r="G181"/>
  <c r="F181"/>
  <c r="C181"/>
  <c r="G201"/>
  <c r="F201"/>
  <c r="C201"/>
  <c r="G200"/>
  <c r="F200"/>
  <c r="C200"/>
  <c r="G199"/>
  <c r="F199"/>
  <c r="C199"/>
  <c r="G198"/>
  <c r="F198"/>
  <c r="C198"/>
  <c r="G197"/>
  <c r="F197"/>
  <c r="C197"/>
  <c r="G196"/>
  <c r="F196"/>
  <c r="C196"/>
  <c r="G195"/>
  <c r="F195"/>
  <c r="C195"/>
  <c r="G194"/>
  <c r="F194"/>
  <c r="C194"/>
  <c r="G193"/>
  <c r="F193"/>
  <c r="C193"/>
  <c r="G192"/>
  <c r="F192"/>
  <c r="C192"/>
  <c r="G210"/>
  <c r="C210"/>
  <c r="G209"/>
  <c r="F209"/>
  <c r="C209"/>
  <c r="G208"/>
  <c r="F208"/>
  <c r="C208"/>
  <c r="G207"/>
  <c r="F207"/>
  <c r="C207"/>
  <c r="G206"/>
  <c r="F206"/>
  <c r="C206"/>
  <c r="G205"/>
  <c r="F205"/>
  <c r="C205"/>
  <c r="G204"/>
  <c r="F204"/>
  <c r="C204"/>
  <c r="G203"/>
  <c r="F203"/>
  <c r="C203"/>
  <c r="G202"/>
  <c r="F202"/>
  <c r="C202"/>
  <c r="G217"/>
  <c r="C217"/>
  <c r="G216"/>
  <c r="C216"/>
  <c r="G215"/>
  <c r="C215"/>
  <c r="G214"/>
  <c r="C214"/>
  <c r="G213"/>
  <c r="F213"/>
  <c r="C213"/>
  <c r="G212"/>
  <c r="F212"/>
  <c r="C212"/>
  <c r="G211"/>
  <c r="C211"/>
  <c r="G162"/>
  <c r="F162"/>
  <c r="C162"/>
  <c r="G161"/>
  <c r="C161"/>
  <c r="G160"/>
  <c r="C160"/>
  <c r="G159"/>
  <c r="C159"/>
  <c r="G158"/>
  <c r="C158"/>
  <c r="G168"/>
  <c r="C168"/>
  <c r="G167"/>
  <c r="C167"/>
  <c r="G166"/>
  <c r="F166"/>
  <c r="C166"/>
  <c r="G165"/>
  <c r="F165"/>
  <c r="C165"/>
  <c r="G164"/>
  <c r="C164"/>
  <c r="G163"/>
  <c r="C163"/>
  <c r="G134" l="1"/>
  <c r="C280"/>
  <c r="F137"/>
  <c r="C137"/>
  <c r="F136"/>
  <c r="C136"/>
  <c r="F135"/>
  <c r="C135"/>
  <c r="C134"/>
  <c r="G137" l="1"/>
  <c r="G135"/>
  <c r="G136"/>
  <c r="G280"/>
  <c r="R123" l="1"/>
  <c r="Q123"/>
  <c r="Q122"/>
  <c r="Q118"/>
  <c r="G122"/>
  <c r="C122"/>
  <c r="Q120"/>
  <c r="Q116"/>
  <c r="Q115"/>
  <c r="Q119" s="1"/>
  <c r="Q125"/>
  <c r="G124"/>
  <c r="F124"/>
  <c r="C124"/>
  <c r="Q106"/>
  <c r="Q108"/>
  <c r="R279"/>
  <c r="Q279"/>
  <c r="R78"/>
  <c r="R77"/>
  <c r="Q78"/>
  <c r="Q77"/>
  <c r="G74"/>
  <c r="C74"/>
  <c r="G76"/>
  <c r="C76"/>
  <c r="Q72"/>
  <c r="Q71"/>
  <c r="Q96"/>
  <c r="G100"/>
  <c r="F100"/>
  <c r="C100"/>
  <c r="G96"/>
  <c r="C96"/>
  <c r="G66"/>
  <c r="F66"/>
  <c r="C66"/>
  <c r="Q117" l="1"/>
  <c r="Q109"/>
  <c r="Q73"/>
  <c r="G272" l="1"/>
  <c r="C272"/>
  <c r="Q28"/>
  <c r="R35"/>
  <c r="Q35"/>
  <c r="R83"/>
  <c r="R84" s="1"/>
  <c r="Q83"/>
  <c r="Q84" s="1"/>
  <c r="G87"/>
  <c r="C87"/>
  <c r="G86"/>
  <c r="C86"/>
  <c r="R90"/>
  <c r="R91"/>
  <c r="R82" s="1"/>
  <c r="Q91"/>
  <c r="Q82" s="1"/>
  <c r="G279" l="1"/>
  <c r="G275"/>
  <c r="F275"/>
  <c r="G274"/>
  <c r="F274"/>
  <c r="G268"/>
  <c r="G273"/>
  <c r="G271"/>
  <c r="G270"/>
  <c r="G267"/>
  <c r="G263"/>
  <c r="F263"/>
  <c r="F262"/>
  <c r="G257"/>
  <c r="G256"/>
  <c r="G255"/>
  <c r="G254"/>
  <c r="F254"/>
  <c r="G253"/>
  <c r="F253"/>
  <c r="G252"/>
  <c r="F252"/>
  <c r="G251"/>
  <c r="G250"/>
  <c r="G249"/>
  <c r="G248"/>
  <c r="G247"/>
  <c r="G246"/>
  <c r="G245"/>
  <c r="G244"/>
  <c r="G243"/>
  <c r="G242"/>
  <c r="G241"/>
  <c r="G240"/>
  <c r="G239"/>
  <c r="G238"/>
  <c r="G237"/>
  <c r="G236"/>
  <c r="G235"/>
  <c r="G234"/>
  <c r="G233"/>
  <c r="G227"/>
  <c r="G225"/>
  <c r="G221"/>
  <c r="F221"/>
  <c r="G220"/>
  <c r="G219"/>
  <c r="G218"/>
  <c r="G191"/>
  <c r="F191"/>
  <c r="G180"/>
  <c r="F180"/>
  <c r="G179"/>
  <c r="F179"/>
  <c r="G178"/>
  <c r="G177"/>
  <c r="G172"/>
  <c r="G171"/>
  <c r="G170"/>
  <c r="G169"/>
  <c r="G157"/>
  <c r="G149"/>
  <c r="G152"/>
  <c r="G151"/>
  <c r="G148"/>
  <c r="G150"/>
  <c r="G147"/>
  <c r="G153"/>
  <c r="G146"/>
  <c r="G145"/>
  <c r="G144"/>
  <c r="G143"/>
  <c r="G142"/>
  <c r="F142"/>
  <c r="G133"/>
  <c r="G132"/>
  <c r="G131"/>
  <c r="G130"/>
  <c r="G129"/>
  <c r="G125"/>
  <c r="G123"/>
  <c r="F123"/>
  <c r="G121"/>
  <c r="G120"/>
  <c r="G117"/>
  <c r="G119"/>
  <c r="G118"/>
  <c r="G116"/>
  <c r="G115"/>
  <c r="G114"/>
  <c r="G109"/>
  <c r="G108"/>
  <c r="G106"/>
  <c r="G105"/>
  <c r="G99"/>
  <c r="G98"/>
  <c r="G97"/>
  <c r="G101"/>
  <c r="F101"/>
  <c r="G95"/>
  <c r="G91"/>
  <c r="G88"/>
  <c r="G90"/>
  <c r="F90"/>
  <c r="G89"/>
  <c r="F89"/>
  <c r="G85"/>
  <c r="G84"/>
  <c r="G83"/>
  <c r="G82"/>
  <c r="G72"/>
  <c r="G78"/>
  <c r="G77"/>
  <c r="G75"/>
  <c r="G73"/>
  <c r="G71"/>
  <c r="G67"/>
  <c r="G65"/>
  <c r="G64"/>
  <c r="G63"/>
  <c r="G59"/>
  <c r="G58"/>
  <c r="G57"/>
  <c r="G56"/>
  <c r="G55"/>
  <c r="G54"/>
  <c r="G53"/>
  <c r="G52"/>
  <c r="G48"/>
  <c r="G47"/>
  <c r="G46"/>
  <c r="G45"/>
  <c r="G44"/>
  <c r="G43"/>
  <c r="G42"/>
  <c r="G41"/>
  <c r="G40"/>
  <c r="G39"/>
  <c r="G35"/>
  <c r="G34"/>
  <c r="G33"/>
  <c r="F33"/>
  <c r="G32"/>
  <c r="G30"/>
  <c r="F30"/>
  <c r="G29"/>
  <c r="F29"/>
  <c r="C279"/>
  <c r="C275"/>
  <c r="C274"/>
  <c r="C269"/>
  <c r="C268"/>
  <c r="C273"/>
  <c r="C271"/>
  <c r="C270"/>
  <c r="C267"/>
  <c r="C263"/>
  <c r="C262"/>
  <c r="C261"/>
  <c r="C260"/>
  <c r="C259"/>
  <c r="C258"/>
  <c r="C257"/>
  <c r="C256"/>
  <c r="C255"/>
  <c r="C254"/>
  <c r="C253"/>
  <c r="C252"/>
  <c r="C251"/>
  <c r="C250"/>
  <c r="C249"/>
  <c r="C248"/>
  <c r="C247"/>
  <c r="C246"/>
  <c r="C245"/>
  <c r="C244"/>
  <c r="C243"/>
  <c r="C242"/>
  <c r="C241"/>
  <c r="C240"/>
  <c r="C239"/>
  <c r="C238"/>
  <c r="C236"/>
  <c r="C235"/>
  <c r="C234"/>
  <c r="C233"/>
  <c r="C227"/>
  <c r="C226"/>
  <c r="C225"/>
  <c r="C221"/>
  <c r="C220"/>
  <c r="C219"/>
  <c r="C218"/>
  <c r="C191"/>
  <c r="C180"/>
  <c r="C179"/>
  <c r="C178"/>
  <c r="C177"/>
  <c r="C172"/>
  <c r="C171"/>
  <c r="C170"/>
  <c r="C169"/>
  <c r="C157"/>
  <c r="C149"/>
  <c r="C152"/>
  <c r="C151"/>
  <c r="C148"/>
  <c r="C150"/>
  <c r="C147"/>
  <c r="C153"/>
  <c r="C146"/>
  <c r="C145"/>
  <c r="C144"/>
  <c r="C143"/>
  <c r="C142"/>
  <c r="C133"/>
  <c r="C132"/>
  <c r="C131"/>
  <c r="C130"/>
  <c r="C129"/>
  <c r="C125"/>
  <c r="C123"/>
  <c r="C121"/>
  <c r="C120"/>
  <c r="C117"/>
  <c r="C119"/>
  <c r="C118"/>
  <c r="C116"/>
  <c r="C115"/>
  <c r="C114"/>
  <c r="C107"/>
  <c r="C110"/>
  <c r="C109"/>
  <c r="C108"/>
  <c r="C106"/>
  <c r="C105"/>
  <c r="C99"/>
  <c r="C98"/>
  <c r="C97"/>
  <c r="C101"/>
  <c r="C95"/>
  <c r="C91"/>
  <c r="C88"/>
  <c r="C90"/>
  <c r="C89"/>
  <c r="C85"/>
  <c r="C84"/>
  <c r="C83"/>
  <c r="C82"/>
  <c r="C72"/>
  <c r="C78"/>
  <c r="C77"/>
  <c r="C75"/>
  <c r="C73"/>
  <c r="C71"/>
  <c r="C67"/>
  <c r="C65"/>
  <c r="C64"/>
  <c r="C63"/>
  <c r="C59"/>
  <c r="C58"/>
  <c r="C57"/>
  <c r="C56"/>
  <c r="C55"/>
  <c r="C54"/>
  <c r="C53"/>
  <c r="C52"/>
  <c r="C48"/>
  <c r="C47"/>
  <c r="C46"/>
  <c r="C45"/>
  <c r="C44"/>
  <c r="C43"/>
  <c r="C42"/>
  <c r="C41"/>
  <c r="C40"/>
  <c r="C39"/>
  <c r="C35"/>
  <c r="C34"/>
  <c r="C33"/>
  <c r="C32"/>
  <c r="C30"/>
  <c r="C29"/>
  <c r="C28"/>
  <c r="F28"/>
  <c r="G45" i="114" l="1"/>
  <c r="G44"/>
  <c r="G43"/>
  <c r="G42"/>
  <c r="G41"/>
  <c r="G40"/>
  <c r="G46"/>
  <c r="G6"/>
  <c r="E38"/>
  <c r="G38" s="1"/>
  <c r="E37"/>
  <c r="G37" s="1"/>
  <c r="G36"/>
  <c r="E34"/>
  <c r="G34" s="1"/>
  <c r="E33"/>
  <c r="G33" s="1"/>
  <c r="G32"/>
  <c r="G11"/>
  <c r="G14"/>
  <c r="G13"/>
  <c r="G12"/>
  <c r="E48"/>
  <c r="G48" s="1"/>
  <c r="E47"/>
  <c r="G47" s="1"/>
  <c r="E35"/>
  <c r="E31"/>
  <c r="E30"/>
  <c r="G30" s="1"/>
  <c r="E29"/>
  <c r="G29" s="1"/>
  <c r="E26"/>
  <c r="G26" s="1"/>
  <c r="E24"/>
  <c r="G24" s="1"/>
  <c r="E23"/>
  <c r="G23" s="1"/>
  <c r="E22"/>
  <c r="G22" s="1"/>
  <c r="E21"/>
  <c r="G21" s="1"/>
  <c r="E20"/>
  <c r="G20" s="1"/>
  <c r="E19"/>
  <c r="G19" s="1"/>
  <c r="E17"/>
  <c r="E16"/>
  <c r="E15"/>
  <c r="G49"/>
  <c r="G39"/>
  <c r="G28"/>
  <c r="G27"/>
  <c r="G25"/>
  <c r="G18"/>
  <c r="F35" l="1"/>
  <c r="G35" s="1"/>
  <c r="F31"/>
  <c r="G31" s="1"/>
  <c r="G17"/>
  <c r="G16"/>
  <c r="G15"/>
  <c r="G10"/>
  <c r="G9"/>
  <c r="G8"/>
  <c r="G7"/>
  <c r="G5" s="1"/>
  <c r="G28" i="104"/>
  <c r="G31" l="1"/>
  <c r="A5" i="114" l="1"/>
  <c r="B5"/>
  <c r="A7" i="36" l="1"/>
  <c r="A6"/>
  <c r="F19" i="104"/>
  <c r="F10"/>
  <c r="H183" l="1"/>
  <c r="I183" s="1"/>
  <c r="H181"/>
  <c r="I181" s="1"/>
  <c r="H194"/>
  <c r="I194" s="1"/>
  <c r="H187"/>
  <c r="I187" s="1"/>
  <c r="H211"/>
  <c r="I211" s="1"/>
  <c r="H199"/>
  <c r="I199" s="1"/>
  <c r="H192"/>
  <c r="I192" s="1"/>
  <c r="H212"/>
  <c r="I212" s="1"/>
  <c r="H206"/>
  <c r="I206" s="1"/>
  <c r="H216"/>
  <c r="I216" s="1"/>
  <c r="H185"/>
  <c r="I185" s="1"/>
  <c r="H189"/>
  <c r="I189" s="1"/>
  <c r="H217"/>
  <c r="I217" s="1"/>
  <c r="H208"/>
  <c r="I208" s="1"/>
  <c r="H188"/>
  <c r="I188" s="1"/>
  <c r="H207"/>
  <c r="I207" s="1"/>
  <c r="H184"/>
  <c r="I184" s="1"/>
  <c r="H209"/>
  <c r="I209" s="1"/>
  <c r="H182"/>
  <c r="I182" s="1"/>
  <c r="H213"/>
  <c r="I213" s="1"/>
  <c r="H204"/>
  <c r="I204" s="1"/>
  <c r="H198"/>
  <c r="I198" s="1"/>
  <c r="H214"/>
  <c r="I214" s="1"/>
  <c r="H210"/>
  <c r="I210" s="1"/>
  <c r="H201"/>
  <c r="I201" s="1"/>
  <c r="H205"/>
  <c r="I205" s="1"/>
  <c r="H190"/>
  <c r="I190" s="1"/>
  <c r="H215"/>
  <c r="I215" s="1"/>
  <c r="H186"/>
  <c r="I186" s="1"/>
  <c r="H195"/>
  <c r="I195" s="1"/>
  <c r="H202"/>
  <c r="I202" s="1"/>
  <c r="H200"/>
  <c r="I200" s="1"/>
  <c r="H203"/>
  <c r="I203" s="1"/>
  <c r="H193"/>
  <c r="I193" s="1"/>
  <c r="H197"/>
  <c r="I197" s="1"/>
  <c r="H196"/>
  <c r="I196" s="1"/>
  <c r="H158"/>
  <c r="I158" s="1"/>
  <c r="H161"/>
  <c r="I161" s="1"/>
  <c r="H165"/>
  <c r="I165" s="1"/>
  <c r="H162"/>
  <c r="I162" s="1"/>
  <c r="H164"/>
  <c r="I164" s="1"/>
  <c r="H163"/>
  <c r="I163" s="1"/>
  <c r="H167"/>
  <c r="I167" s="1"/>
  <c r="H168"/>
  <c r="I168" s="1"/>
  <c r="H160"/>
  <c r="I160" s="1"/>
  <c r="H166"/>
  <c r="I166" s="1"/>
  <c r="H159"/>
  <c r="I159" s="1"/>
  <c r="H280"/>
  <c r="I280" s="1"/>
  <c r="H137"/>
  <c r="I137" s="1"/>
  <c r="H135"/>
  <c r="I135" s="1"/>
  <c r="H134"/>
  <c r="I134" s="1"/>
  <c r="H136"/>
  <c r="I136" s="1"/>
  <c r="H124"/>
  <c r="I124" s="1"/>
  <c r="H122"/>
  <c r="I122" s="1"/>
  <c r="H76"/>
  <c r="I76" s="1"/>
  <c r="H74"/>
  <c r="I74" s="1"/>
  <c r="H96"/>
  <c r="I96" s="1"/>
  <c r="H100"/>
  <c r="I100" s="1"/>
  <c r="H66"/>
  <c r="I66" s="1"/>
  <c r="H272"/>
  <c r="I272" s="1"/>
  <c r="H87"/>
  <c r="I87" s="1"/>
  <c r="H86"/>
  <c r="I86" s="1"/>
  <c r="H233"/>
  <c r="I233" s="1"/>
  <c r="H178"/>
  <c r="I178" s="1"/>
  <c r="H145"/>
  <c r="I145" s="1"/>
  <c r="H116"/>
  <c r="I116" s="1"/>
  <c r="H279"/>
  <c r="I279" s="1"/>
  <c r="H270"/>
  <c r="I270" s="1"/>
  <c r="H256"/>
  <c r="I256" s="1"/>
  <c r="H253"/>
  <c r="I253" s="1"/>
  <c r="H244"/>
  <c r="I244" s="1"/>
  <c r="H179"/>
  <c r="I179" s="1"/>
  <c r="H250"/>
  <c r="I250" s="1"/>
  <c r="H239"/>
  <c r="I239" s="1"/>
  <c r="H236"/>
  <c r="I236" s="1"/>
  <c r="H227"/>
  <c r="I227" s="1"/>
  <c r="H221"/>
  <c r="I221" s="1"/>
  <c r="H241"/>
  <c r="I241" s="1"/>
  <c r="H234"/>
  <c r="I234" s="1"/>
  <c r="H225"/>
  <c r="I225" s="1"/>
  <c r="H150"/>
  <c r="I150" s="1"/>
  <c r="H275"/>
  <c r="I275" s="1"/>
  <c r="H273"/>
  <c r="I273" s="1"/>
  <c r="H251"/>
  <c r="I251" s="1"/>
  <c r="H240"/>
  <c r="I240" s="1"/>
  <c r="H238"/>
  <c r="I238" s="1"/>
  <c r="H237"/>
  <c r="I237" s="1"/>
  <c r="H170"/>
  <c r="I170" s="1"/>
  <c r="H33"/>
  <c r="I33" s="1"/>
  <c r="H243"/>
  <c r="I243" s="1"/>
  <c r="H83"/>
  <c r="I83" s="1"/>
  <c r="H75"/>
  <c r="I75" s="1"/>
  <c r="H97"/>
  <c r="I97" s="1"/>
  <c r="H34"/>
  <c r="I34" s="1"/>
  <c r="H249"/>
  <c r="I249" s="1"/>
  <c r="H235"/>
  <c r="I235" s="1"/>
  <c r="H31"/>
  <c r="I31" s="1"/>
  <c r="H242"/>
  <c r="I242" s="1"/>
  <c r="H106"/>
  <c r="I106" s="1"/>
  <c r="H44"/>
  <c r="I44" s="1"/>
  <c r="H67"/>
  <c r="I67" s="1"/>
  <c r="H131"/>
  <c r="I131" s="1"/>
  <c r="H56"/>
  <c r="I56" s="1"/>
  <c r="H73"/>
  <c r="I73" s="1"/>
  <c r="H245"/>
  <c r="I245" s="1"/>
  <c r="H151"/>
  <c r="I151" s="1"/>
  <c r="H108"/>
  <c r="I108" s="1"/>
  <c r="H98"/>
  <c r="I98" s="1"/>
  <c r="H119"/>
  <c r="I119" s="1"/>
  <c r="H63"/>
  <c r="I63" s="1"/>
  <c r="H172"/>
  <c r="I172" s="1"/>
  <c r="H169"/>
  <c r="I169" s="1"/>
  <c r="H52"/>
  <c r="I52" s="1"/>
  <c r="H53"/>
  <c r="I53" s="1"/>
  <c r="H39"/>
  <c r="I39" s="1"/>
  <c r="H40"/>
  <c r="I40" s="1"/>
  <c r="H32"/>
  <c r="I32" s="1"/>
  <c r="H82"/>
  <c r="I82" s="1"/>
  <c r="H157"/>
  <c r="I157" s="1"/>
  <c r="H65"/>
  <c r="I65" s="1"/>
  <c r="H123"/>
  <c r="I123" s="1"/>
  <c r="H58"/>
  <c r="I58" s="1"/>
  <c r="H43"/>
  <c r="I43" s="1"/>
  <c r="H142"/>
  <c r="I142" s="1"/>
  <c r="H35"/>
  <c r="I35" s="1"/>
  <c r="H59"/>
  <c r="I59" s="1"/>
  <c r="H42"/>
  <c r="I42" s="1"/>
  <c r="H118"/>
  <c r="I118" s="1"/>
  <c r="H255"/>
  <c r="I255" s="1"/>
  <c r="H120"/>
  <c r="I120" s="1"/>
  <c r="H114"/>
  <c r="I114" s="1"/>
  <c r="H171"/>
  <c r="I171" s="1"/>
  <c r="H252"/>
  <c r="I252" s="1"/>
  <c r="H218"/>
  <c r="I218" s="1"/>
  <c r="H88"/>
  <c r="I88" s="1"/>
  <c r="H30"/>
  <c r="I30" s="1"/>
  <c r="H191"/>
  <c r="I191" s="1"/>
  <c r="H148"/>
  <c r="I148" s="1"/>
  <c r="H46"/>
  <c r="I46" s="1"/>
  <c r="H77"/>
  <c r="I77" s="1"/>
  <c r="H149"/>
  <c r="I149" s="1"/>
  <c r="H146"/>
  <c r="I146" s="1"/>
  <c r="H55"/>
  <c r="I55" s="1"/>
  <c r="H220"/>
  <c r="I220" s="1"/>
  <c r="H132"/>
  <c r="I132" s="1"/>
  <c r="H267"/>
  <c r="I267" s="1"/>
  <c r="H130"/>
  <c r="I130" s="1"/>
  <c r="H177"/>
  <c r="I177" s="1"/>
  <c r="H274"/>
  <c r="I274" s="1"/>
  <c r="H45"/>
  <c r="I45" s="1"/>
  <c r="H90"/>
  <c r="I90" s="1"/>
  <c r="H48"/>
  <c r="I48" s="1"/>
  <c r="H41"/>
  <c r="I41" s="1"/>
  <c r="H176"/>
  <c r="I176" s="1"/>
  <c r="H144"/>
  <c r="I144" s="1"/>
  <c r="H246"/>
  <c r="I246" s="1"/>
  <c r="H247"/>
  <c r="I247" s="1"/>
  <c r="H133"/>
  <c r="I133" s="1"/>
  <c r="H147"/>
  <c r="I147" s="1"/>
  <c r="H271"/>
  <c r="I271" s="1"/>
  <c r="H72"/>
  <c r="I72" s="1"/>
  <c r="H95"/>
  <c r="I95" s="1"/>
  <c r="H89"/>
  <c r="I89" s="1"/>
  <c r="H153"/>
  <c r="I153" s="1"/>
  <c r="H180"/>
  <c r="I180" s="1"/>
  <c r="H101"/>
  <c r="I101" s="1"/>
  <c r="H29"/>
  <c r="I29" s="1"/>
  <c r="H268"/>
  <c r="I268" s="1"/>
  <c r="H263"/>
  <c r="I263" s="1"/>
  <c r="H219"/>
  <c r="I219" s="1"/>
  <c r="H254"/>
  <c r="I254" s="1"/>
  <c r="H84"/>
  <c r="I84" s="1"/>
  <c r="H64"/>
  <c r="I64" s="1"/>
  <c r="H143"/>
  <c r="I143" s="1"/>
  <c r="H91"/>
  <c r="I91" s="1"/>
  <c r="H54"/>
  <c r="I54" s="1"/>
  <c r="H117"/>
  <c r="I117" s="1"/>
  <c r="H248"/>
  <c r="I248" s="1"/>
  <c r="H105"/>
  <c r="I105" s="1"/>
  <c r="H85"/>
  <c r="I85" s="1"/>
  <c r="H47"/>
  <c r="I47" s="1"/>
  <c r="H129"/>
  <c r="I129" s="1"/>
  <c r="H121"/>
  <c r="I121" s="1"/>
  <c r="H99"/>
  <c r="I99" s="1"/>
  <c r="H71"/>
  <c r="I71" s="1"/>
  <c r="H125"/>
  <c r="I125" s="1"/>
  <c r="H257"/>
  <c r="I257" s="1"/>
  <c r="H78"/>
  <c r="I78" s="1"/>
  <c r="H57"/>
  <c r="I57" s="1"/>
  <c r="H109"/>
  <c r="I109" s="1"/>
  <c r="H152"/>
  <c r="I152" s="1"/>
  <c r="H115"/>
  <c r="I115" s="1"/>
  <c r="H28"/>
  <c r="I28" s="1"/>
  <c r="A18" i="36"/>
  <c r="B21"/>
  <c r="A22"/>
  <c r="A11"/>
  <c r="B18"/>
  <c r="A15"/>
  <c r="B19"/>
  <c r="B16"/>
  <c r="B11"/>
  <c r="B12"/>
  <c r="A19"/>
  <c r="A14"/>
  <c r="B23"/>
  <c r="A12"/>
  <c r="B15"/>
  <c r="A13"/>
  <c r="A20"/>
  <c r="B14"/>
  <c r="B13"/>
  <c r="A17"/>
  <c r="B20"/>
  <c r="B10"/>
  <c r="A21"/>
  <c r="A23"/>
  <c r="A16"/>
  <c r="A10"/>
  <c r="B17"/>
  <c r="B22"/>
  <c r="I281" i="104" l="1"/>
  <c r="D23" i="36" l="1"/>
  <c r="F23" l="1"/>
  <c r="H23"/>
  <c r="J23"/>
  <c r="K43" l="1"/>
  <c r="G107" i="104" l="1"/>
  <c r="H107" s="1"/>
  <c r="I107" s="1"/>
  <c r="G110"/>
  <c r="H110" s="1"/>
  <c r="I110" s="1"/>
  <c r="G260" l="1"/>
  <c r="H260" s="1"/>
  <c r="I260" s="1"/>
  <c r="G259"/>
  <c r="H259" s="1"/>
  <c r="I259" s="1"/>
  <c r="G258"/>
  <c r="H258" s="1"/>
  <c r="I258" s="1"/>
  <c r="G269"/>
  <c r="H269" s="1"/>
  <c r="I269" s="1"/>
  <c r="G261"/>
  <c r="H261" s="1"/>
  <c r="I261" s="1"/>
  <c r="G262"/>
  <c r="H262" s="1"/>
  <c r="I262" s="1"/>
  <c r="I173" l="1"/>
  <c r="I222" l="1"/>
  <c r="I138" l="1"/>
  <c r="D19" i="36" s="1"/>
  <c r="H19" l="1"/>
  <c r="J19"/>
  <c r="F19"/>
  <c r="I154" i="104"/>
  <c r="I92" l="1"/>
  <c r="D15" i="36" s="1"/>
  <c r="H15" l="1"/>
  <c r="J15"/>
  <c r="F15"/>
  <c r="I102" i="104" l="1"/>
  <c r="D16" i="36" s="1"/>
  <c r="J16" l="1"/>
  <c r="F16"/>
  <c r="H16"/>
  <c r="I68" i="104"/>
  <c r="D13" i="36" s="1"/>
  <c r="F13" l="1"/>
  <c r="H13"/>
  <c r="J13"/>
  <c r="A31" l="1"/>
  <c r="A34"/>
  <c r="A38"/>
  <c r="A41"/>
  <c r="B43"/>
  <c r="A42"/>
  <c r="A30"/>
  <c r="A36"/>
  <c r="A40"/>
  <c r="A33"/>
  <c r="A37"/>
  <c r="A43"/>
  <c r="A29"/>
  <c r="A32"/>
  <c r="A35"/>
  <c r="A39"/>
  <c r="I49" i="104" l="1"/>
  <c r="D11" i="36" s="1"/>
  <c r="F11" l="1"/>
  <c r="H11"/>
  <c r="J11"/>
  <c r="I276" i="104"/>
  <c r="G226"/>
  <c r="H226" s="1"/>
  <c r="I226" s="1"/>
  <c r="I264"/>
  <c r="D21" i="36" l="1"/>
  <c r="D22"/>
  <c r="I228" i="104"/>
  <c r="I230" s="1"/>
  <c r="J21" i="36" l="1"/>
  <c r="H21"/>
  <c r="F21"/>
  <c r="F22"/>
  <c r="J22"/>
  <c r="H22"/>
  <c r="I60" i="104" l="1"/>
  <c r="D12" i="36" s="1"/>
  <c r="I79" i="104"/>
  <c r="D14" i="36" s="1"/>
  <c r="H12" l="1"/>
  <c r="J12"/>
  <c r="F12"/>
  <c r="F14"/>
  <c r="H14"/>
  <c r="J14"/>
  <c r="K31" l="1"/>
  <c r="K32"/>
  <c r="K33"/>
  <c r="K34"/>
  <c r="K35"/>
  <c r="K36"/>
  <c r="K37"/>
  <c r="K38"/>
  <c r="K39"/>
  <c r="K40"/>
  <c r="K41"/>
  <c r="K42"/>
  <c r="K30"/>
  <c r="B29" l="1"/>
  <c r="B35"/>
  <c r="B41"/>
  <c r="B32"/>
  <c r="B31"/>
  <c r="B38"/>
  <c r="B37"/>
  <c r="B42"/>
  <c r="B34"/>
  <c r="B33"/>
  <c r="B40"/>
  <c r="B39"/>
  <c r="B30"/>
  <c r="B36"/>
  <c r="D20" l="1"/>
  <c r="J20" s="1"/>
  <c r="F20" l="1"/>
  <c r="H20"/>
  <c r="I126" i="104"/>
  <c r="D18" i="36" l="1"/>
  <c r="F18" s="1"/>
  <c r="J18" l="1"/>
  <c r="H18"/>
  <c r="D32" l="1"/>
  <c r="H32" l="1"/>
  <c r="J32"/>
  <c r="F32"/>
  <c r="D31"/>
  <c r="F31" l="1"/>
  <c r="H31"/>
  <c r="J31"/>
  <c r="D35"/>
  <c r="D36"/>
  <c r="J36" l="1"/>
  <c r="F36"/>
  <c r="H36"/>
  <c r="H35"/>
  <c r="J35"/>
  <c r="F35"/>
  <c r="D33"/>
  <c r="F33" l="1"/>
  <c r="H33"/>
  <c r="J33"/>
  <c r="D30"/>
  <c r="J30" l="1"/>
  <c r="F30"/>
  <c r="H30"/>
  <c r="D41"/>
  <c r="D42"/>
  <c r="D39"/>
  <c r="F41" l="1"/>
  <c r="H41"/>
  <c r="J41"/>
  <c r="H39"/>
  <c r="J39"/>
  <c r="F39"/>
  <c r="J42"/>
  <c r="F42"/>
  <c r="H42"/>
  <c r="D38"/>
  <c r="F38" l="1"/>
  <c r="H38"/>
  <c r="J38"/>
  <c r="D34" l="1"/>
  <c r="F34" l="1"/>
  <c r="H34"/>
  <c r="J34"/>
  <c r="D40"/>
  <c r="J40" l="1"/>
  <c r="F40"/>
  <c r="H40"/>
  <c r="D43"/>
  <c r="J43" l="1"/>
  <c r="F43"/>
  <c r="H43"/>
  <c r="I111" i="104" l="1"/>
  <c r="D17" i="36" l="1"/>
  <c r="F17" l="1"/>
  <c r="H17"/>
  <c r="J17"/>
  <c r="D37"/>
  <c r="F37" l="1"/>
  <c r="H37"/>
  <c r="J37"/>
  <c r="I36" i="104" l="1"/>
  <c r="I284" s="1"/>
  <c r="J190" l="1"/>
  <c r="J183"/>
  <c r="J182"/>
  <c r="J187"/>
  <c r="J184"/>
  <c r="J188"/>
  <c r="J185"/>
  <c r="J181"/>
  <c r="J189"/>
  <c r="J186"/>
  <c r="J194"/>
  <c r="J199"/>
  <c r="J193"/>
  <c r="J198"/>
  <c r="J200"/>
  <c r="J197"/>
  <c r="J201"/>
  <c r="J192"/>
  <c r="J196"/>
  <c r="J195"/>
  <c r="J205"/>
  <c r="J206"/>
  <c r="J209"/>
  <c r="J210"/>
  <c r="J204"/>
  <c r="J202"/>
  <c r="J207"/>
  <c r="J208"/>
  <c r="J203"/>
  <c r="J213"/>
  <c r="J214"/>
  <c r="J212"/>
  <c r="J217"/>
  <c r="J215"/>
  <c r="J216"/>
  <c r="J211"/>
  <c r="J162"/>
  <c r="J158"/>
  <c r="J161"/>
  <c r="J159"/>
  <c r="J160"/>
  <c r="J165"/>
  <c r="J168"/>
  <c r="J164"/>
  <c r="J163"/>
  <c r="J167"/>
  <c r="J166"/>
  <c r="I285"/>
  <c r="D10" i="36"/>
  <c r="J280" i="104" l="1"/>
  <c r="J136"/>
  <c r="J137"/>
  <c r="J135"/>
  <c r="J134"/>
  <c r="J122"/>
  <c r="J74"/>
  <c r="J124"/>
  <c r="J76"/>
  <c r="J100"/>
  <c r="J96"/>
  <c r="J66"/>
  <c r="J272"/>
  <c r="J86"/>
  <c r="J87"/>
  <c r="J279"/>
  <c r="J269"/>
  <c r="J275"/>
  <c r="J274"/>
  <c r="J270"/>
  <c r="J267"/>
  <c r="J268"/>
  <c r="J271"/>
  <c r="J273"/>
  <c r="J258"/>
  <c r="J261"/>
  <c r="J263"/>
  <c r="J262"/>
  <c r="J260"/>
  <c r="J259"/>
  <c r="J255"/>
  <c r="J257"/>
  <c r="J256"/>
  <c r="J253"/>
  <c r="J254"/>
  <c r="J252"/>
  <c r="J248"/>
  <c r="J250"/>
  <c r="J251"/>
  <c r="J249"/>
  <c r="J247"/>
  <c r="J246"/>
  <c r="J245"/>
  <c r="J239"/>
  <c r="J233"/>
  <c r="J235"/>
  <c r="J238"/>
  <c r="J243"/>
  <c r="J242"/>
  <c r="J240"/>
  <c r="J244"/>
  <c r="J236"/>
  <c r="J237"/>
  <c r="J234"/>
  <c r="J241"/>
  <c r="J226"/>
  <c r="J227"/>
  <c r="J225"/>
  <c r="J176"/>
  <c r="J178"/>
  <c r="J220"/>
  <c r="J218"/>
  <c r="J179"/>
  <c r="J191"/>
  <c r="J177"/>
  <c r="J221"/>
  <c r="J180"/>
  <c r="J219"/>
  <c r="J172"/>
  <c r="J157"/>
  <c r="J170"/>
  <c r="J169"/>
  <c r="J171"/>
  <c r="J152"/>
  <c r="J149"/>
  <c r="J150"/>
  <c r="J145"/>
  <c r="J153"/>
  <c r="J147"/>
  <c r="J144"/>
  <c r="J151"/>
  <c r="J143"/>
  <c r="J146"/>
  <c r="J148"/>
  <c r="J142"/>
  <c r="J131"/>
  <c r="J130"/>
  <c r="J133"/>
  <c r="J132"/>
  <c r="J129"/>
  <c r="J121"/>
  <c r="J123"/>
  <c r="J125"/>
  <c r="J117"/>
  <c r="J118"/>
  <c r="J116"/>
  <c r="J120"/>
  <c r="J115"/>
  <c r="J114"/>
  <c r="J119"/>
  <c r="J107"/>
  <c r="J110"/>
  <c r="J106"/>
  <c r="J105"/>
  <c r="J108"/>
  <c r="J109"/>
  <c r="J97"/>
  <c r="J98"/>
  <c r="J95"/>
  <c r="J99"/>
  <c r="J101"/>
  <c r="J90"/>
  <c r="J84"/>
  <c r="J83"/>
  <c r="J89"/>
  <c r="J82"/>
  <c r="J88"/>
  <c r="J85"/>
  <c r="J91"/>
  <c r="J72"/>
  <c r="J77"/>
  <c r="J78"/>
  <c r="J73"/>
  <c r="J75"/>
  <c r="J71"/>
  <c r="J67"/>
  <c r="J63"/>
  <c r="J64"/>
  <c r="J65"/>
  <c r="J58"/>
  <c r="J53"/>
  <c r="J55"/>
  <c r="J59"/>
  <c r="J52"/>
  <c r="J57"/>
  <c r="J54"/>
  <c r="J56"/>
  <c r="J41"/>
  <c r="J48"/>
  <c r="J47"/>
  <c r="J44"/>
  <c r="J46"/>
  <c r="J45"/>
  <c r="J39"/>
  <c r="J43"/>
  <c r="J40"/>
  <c r="J42"/>
  <c r="J34"/>
  <c r="J33"/>
  <c r="J35"/>
  <c r="J29"/>
  <c r="J32"/>
  <c r="J31"/>
  <c r="J30"/>
  <c r="J60"/>
  <c r="J154"/>
  <c r="J68"/>
  <c r="J102"/>
  <c r="J222"/>
  <c r="J281"/>
  <c r="J126"/>
  <c r="J36"/>
  <c r="J49"/>
  <c r="J276"/>
  <c r="J28"/>
  <c r="J230"/>
  <c r="J173"/>
  <c r="J264"/>
  <c r="J138"/>
  <c r="J79"/>
  <c r="J228"/>
  <c r="J92"/>
  <c r="J111"/>
  <c r="H10" i="36"/>
  <c r="H24" s="1"/>
  <c r="D29"/>
  <c r="J10"/>
  <c r="J24" s="1"/>
  <c r="D24"/>
  <c r="C11" s="1"/>
  <c r="K29"/>
  <c r="F10"/>
  <c r="F24" s="1"/>
  <c r="J284" i="104" l="1"/>
  <c r="C10" i="36"/>
  <c r="C29" s="1"/>
  <c r="C23"/>
  <c r="C43" s="1"/>
  <c r="C13"/>
  <c r="C33" s="1"/>
  <c r="C21"/>
  <c r="C17"/>
  <c r="C37" s="1"/>
  <c r="C18"/>
  <c r="C38" s="1"/>
  <c r="C14"/>
  <c r="C22"/>
  <c r="C42" s="1"/>
  <c r="C16"/>
  <c r="C20"/>
  <c r="E24"/>
  <c r="E25" s="1"/>
  <c r="C12"/>
  <c r="C32" s="1"/>
  <c r="G24"/>
  <c r="I24"/>
  <c r="C19"/>
  <c r="C39" s="1"/>
  <c r="C15"/>
  <c r="D44"/>
  <c r="F29"/>
  <c r="F44" s="1"/>
  <c r="E44" s="1"/>
  <c r="H29"/>
  <c r="H44" s="1"/>
  <c r="G44" s="1"/>
  <c r="J29"/>
  <c r="J44" s="1"/>
  <c r="I44" s="1"/>
  <c r="F25"/>
  <c r="H25" s="1"/>
  <c r="J25" s="1"/>
  <c r="C31"/>
  <c r="G25" l="1"/>
  <c r="I25" s="1"/>
  <c r="E45" s="1"/>
  <c r="G45" s="1"/>
  <c r="I45" s="1"/>
  <c r="C41"/>
  <c r="C34"/>
  <c r="C35"/>
  <c r="C40"/>
  <c r="C36"/>
  <c r="C30"/>
  <c r="C24"/>
  <c r="F45"/>
  <c r="H45" s="1"/>
  <c r="J45" s="1"/>
  <c r="C44" l="1"/>
</calcChain>
</file>

<file path=xl/sharedStrings.xml><?xml version="1.0" encoding="utf-8"?>
<sst xmlns="http://schemas.openxmlformats.org/spreadsheetml/2006/main" count="1222" uniqueCount="720">
  <si>
    <t>R$ UNIT. BDI</t>
  </si>
  <si>
    <t>ITEM</t>
  </si>
  <si>
    <t>CÓDIGO</t>
  </si>
  <si>
    <t>QUANTIDADE</t>
  </si>
  <si>
    <t>R$ UNIT.</t>
  </si>
  <si>
    <t>R$ TOTAL</t>
  </si>
  <si>
    <t>UN</t>
  </si>
  <si>
    <t>%</t>
  </si>
  <si>
    <t>1.1</t>
  </si>
  <si>
    <t>1.2</t>
  </si>
  <si>
    <t>1.3</t>
  </si>
  <si>
    <t>1.6</t>
  </si>
  <si>
    <t>1.0</t>
  </si>
  <si>
    <t>1.7</t>
  </si>
  <si>
    <t>SUBTOTAL</t>
  </si>
  <si>
    <t>TOTAL ITEM 1.0</t>
  </si>
  <si>
    <t>H</t>
  </si>
  <si>
    <t>SERVIÇOS INICIAIS</t>
  </si>
  <si>
    <t>3.0</t>
  </si>
  <si>
    <t>3.1</t>
  </si>
  <si>
    <t>3.2</t>
  </si>
  <si>
    <t>TOTAL ITEM 3.0</t>
  </si>
  <si>
    <t>4.0</t>
  </si>
  <si>
    <t>INFRAESTRUTURA</t>
  </si>
  <si>
    <t>ESTRUTURA</t>
  </si>
  <si>
    <t>5.0</t>
  </si>
  <si>
    <t>REGULARIZAÇÃO E COMPACTAÇÃO DE TERRENO COM PLACA VIBRATÓRIA</t>
  </si>
  <si>
    <t>M3</t>
  </si>
  <si>
    <t>3.3</t>
  </si>
  <si>
    <t>3.4</t>
  </si>
  <si>
    <t>4.1</t>
  </si>
  <si>
    <t>4.2</t>
  </si>
  <si>
    <t>4.3</t>
  </si>
  <si>
    <t>4.4</t>
  </si>
  <si>
    <t>4.6</t>
  </si>
  <si>
    <t>TOTAL ITEM 4.0</t>
  </si>
  <si>
    <t>TOTAL ITEM 5.0</t>
  </si>
  <si>
    <t>COBERTURA</t>
  </si>
  <si>
    <t>6.0</t>
  </si>
  <si>
    <t>6.1</t>
  </si>
  <si>
    <t>6.2</t>
  </si>
  <si>
    <t>6.3</t>
  </si>
  <si>
    <t>6.4</t>
  </si>
  <si>
    <t>6.5</t>
  </si>
  <si>
    <t>6.6</t>
  </si>
  <si>
    <t>TOTAL ITEM 6.0</t>
  </si>
  <si>
    <t>7.0</t>
  </si>
  <si>
    <t>ALVENARIA</t>
  </si>
  <si>
    <t>7.1</t>
  </si>
  <si>
    <t>7.2</t>
  </si>
  <si>
    <t>7.3</t>
  </si>
  <si>
    <t>7.4</t>
  </si>
  <si>
    <t>7.5</t>
  </si>
  <si>
    <t>TOTAL ITEM 7.0</t>
  </si>
  <si>
    <t>8.0</t>
  </si>
  <si>
    <t>REVESTIMENTO</t>
  </si>
  <si>
    <t>8.1</t>
  </si>
  <si>
    <t>TOTAL ITEM 8.0</t>
  </si>
  <si>
    <t>9.0</t>
  </si>
  <si>
    <t>PISO</t>
  </si>
  <si>
    <t>9.5</t>
  </si>
  <si>
    <t>9.6</t>
  </si>
  <si>
    <t>COTAÇÃO</t>
  </si>
  <si>
    <t>SERVENTE COM ENCARGOS COMPLEMENTARES</t>
  </si>
  <si>
    <t>10.0</t>
  </si>
  <si>
    <t>DIVERSOS</t>
  </si>
  <si>
    <t>10.1</t>
  </si>
  <si>
    <t>DIVISÓRIA EM GRANITO CINZA ANDORINHA E = 3 CM, INCLUSIVE FERRAGENS EM LATÃO CROMADO</t>
  </si>
  <si>
    <t>10.2</t>
  </si>
  <si>
    <t>10.3</t>
  </si>
  <si>
    <t>10.4</t>
  </si>
  <si>
    <t>10.5</t>
  </si>
  <si>
    <t>10.6</t>
  </si>
  <si>
    <t>RODABANCADA EM GRANITO CINZA ANDORINHA H = 10 CM, E = 2 CM</t>
  </si>
  <si>
    <t>TESTEIRA EM GRANITO CINZA ANDORINHA</t>
  </si>
  <si>
    <t>10.7</t>
  </si>
  <si>
    <t>TOTAL ITEM 9.0</t>
  </si>
  <si>
    <t>9.7</t>
  </si>
  <si>
    <t>TOTAL ITEM 10.0</t>
  </si>
  <si>
    <t>11.0</t>
  </si>
  <si>
    <t>ESQUADRIAS</t>
  </si>
  <si>
    <t>11.1</t>
  </si>
  <si>
    <t>11.2</t>
  </si>
  <si>
    <t>11.3</t>
  </si>
  <si>
    <t>TOTAL ITEM 11.0</t>
  </si>
  <si>
    <t>12.0</t>
  </si>
  <si>
    <t>PINTURA</t>
  </si>
  <si>
    <t>12.1</t>
  </si>
  <si>
    <t>12.2</t>
  </si>
  <si>
    <t>12.3</t>
  </si>
  <si>
    <t>TOTAL ITEM 12.0</t>
  </si>
  <si>
    <t>13.0</t>
  </si>
  <si>
    <t>INSTALAÇÕES HIDROSSANITÁRIAS</t>
  </si>
  <si>
    <t>ACESSÓRIOS</t>
  </si>
  <si>
    <t>13.1</t>
  </si>
  <si>
    <t>13.2</t>
  </si>
  <si>
    <t>INSTALAÇÕES SANITÁRIAS</t>
  </si>
  <si>
    <t>INSTALAÇÕES HIDRÁULICAS</t>
  </si>
  <si>
    <t>13.4</t>
  </si>
  <si>
    <t>TOTAL ITEM 13.0</t>
  </si>
  <si>
    <t>INSTALAÇÕES ELÉTRICAS</t>
  </si>
  <si>
    <t>INSTALAÇÕES DE COMBATE A INCÊNDIO</t>
  </si>
  <si>
    <t>SERVIÇOS FINAIS</t>
  </si>
  <si>
    <t>TOTAL ITEM 14.0</t>
  </si>
  <si>
    <t>FUN-LAS-005</t>
  </si>
  <si>
    <t>4.10</t>
  </si>
  <si>
    <t>5.1</t>
  </si>
  <si>
    <t>5.2</t>
  </si>
  <si>
    <t>5.3</t>
  </si>
  <si>
    <t>5.4</t>
  </si>
  <si>
    <t>5.5</t>
  </si>
  <si>
    <t>11.4</t>
  </si>
  <si>
    <t>11.5</t>
  </si>
  <si>
    <t>11.6</t>
  </si>
  <si>
    <t>11.7</t>
  </si>
  <si>
    <t>11.8</t>
  </si>
  <si>
    <t>11.9</t>
  </si>
  <si>
    <t>12.1.1</t>
  </si>
  <si>
    <t>12.1.2</t>
  </si>
  <si>
    <t>12.1.3</t>
  </si>
  <si>
    <t>12.1.4</t>
  </si>
  <si>
    <t>12.1.5</t>
  </si>
  <si>
    <t>12.1.6</t>
  </si>
  <si>
    <t>12.1.7</t>
  </si>
  <si>
    <t>12.2.1</t>
  </si>
  <si>
    <t>12.3.1</t>
  </si>
  <si>
    <t>12.3.2</t>
  </si>
  <si>
    <t>13.5</t>
  </si>
  <si>
    <t>13.6</t>
  </si>
  <si>
    <t>13.8</t>
  </si>
  <si>
    <t>13.9</t>
  </si>
  <si>
    <t>14.0</t>
  </si>
  <si>
    <t>14.1</t>
  </si>
  <si>
    <t>TOTAL DA OBRA</t>
  </si>
  <si>
    <t>13.10</t>
  </si>
  <si>
    <t>13.11</t>
  </si>
  <si>
    <t>13.12</t>
  </si>
  <si>
    <t>15.1</t>
  </si>
  <si>
    <t>15.2</t>
  </si>
  <si>
    <t>TOTAL ITEM 22.0</t>
  </si>
  <si>
    <t>EXTINTOR DE INCÊNDIO TIPO PÓ QUÍMICO 2-A:20-B:C, CAPACIDADE 6 KG</t>
  </si>
  <si>
    <t>PREFEITURA MUNICIPAL DE PATROCÍNIO</t>
  </si>
  <si>
    <t>Discriminação dos Serviços</t>
  </si>
  <si>
    <t>Peso %</t>
  </si>
  <si>
    <t>Valor R$</t>
  </si>
  <si>
    <t>1 MÊS</t>
  </si>
  <si>
    <t>2 MÊS</t>
  </si>
  <si>
    <t>3 MÊS</t>
  </si>
  <si>
    <t>R$</t>
  </si>
  <si>
    <t>TOTAL SIMPLES</t>
  </si>
  <si>
    <t>TOTAL ACUMULADO</t>
  </si>
  <si>
    <t>14 MÊS</t>
  </si>
  <si>
    <t>13 MÊS</t>
  </si>
  <si>
    <t>15 MÊS</t>
  </si>
  <si>
    <t>EXECUÇÃO DE CENTRAL DE ARMADURA EM CANTEIRO DE OBRA, NÃO INCLUSO MOBILIÁRIO E EQUIPAMENTOS. AF_04/2016</t>
  </si>
  <si>
    <t>4.7</t>
  </si>
  <si>
    <t>4.9</t>
  </si>
  <si>
    <t>10.8</t>
  </si>
  <si>
    <t>7.6</t>
  </si>
  <si>
    <t>9.12</t>
  </si>
  <si>
    <t>9.13</t>
  </si>
  <si>
    <t>13.13</t>
  </si>
  <si>
    <t>CABIDE METÁLICO SIMPLES CROMADO, INCLUSIVE FIXAÇÃO</t>
  </si>
  <si>
    <t>IMP-PIN-005</t>
  </si>
  <si>
    <t xml:space="preserve">Composição do BDI </t>
  </si>
  <si>
    <t>Intervalos admissíveis sem Justificativa</t>
  </si>
  <si>
    <t>Composição de BDI Adotada</t>
  </si>
  <si>
    <t>Administração Central (AC)</t>
  </si>
  <si>
    <t>De 3,0 % até 5,50%</t>
  </si>
  <si>
    <t>BDI=((((1+AC+SG+R)*(1+DF)*(1+L))/(1-(I+CPRB)))-1)*100</t>
  </si>
  <si>
    <t>Lucro (L)</t>
  </si>
  <si>
    <t>De 6,16 % até 8,96%</t>
  </si>
  <si>
    <t>Despesas Financeiras (DF)</t>
  </si>
  <si>
    <t>De 0,59 % até 1,39%</t>
  </si>
  <si>
    <t>Seguros (S)  e Garantias (G)</t>
  </si>
  <si>
    <t>De0,80 % até1,0%</t>
  </si>
  <si>
    <t xml:space="preserve">Riscos (R) </t>
  </si>
  <si>
    <t>De 0,97 % até 1,27%</t>
  </si>
  <si>
    <t>Tributos(I)</t>
  </si>
  <si>
    <t xml:space="preserve">Observação:  Composição do BDI, intervalos admissíveis e Fórmula de Cálculo nos termos do Acórdão 2622/2013 – TCU </t>
  </si>
  <si>
    <t>CHAPIM METÁLICO, COM PINGADEIRA, CHAPA GALVANIZADA Nº 24, DESENVOLVIMENTO = 35 CM</t>
  </si>
  <si>
    <t>De 1,30 % até 5,20%</t>
  </si>
  <si>
    <t>De 1,75% até 4,10%</t>
  </si>
  <si>
    <t>De 0,50% até 1,00%</t>
  </si>
  <si>
    <t>ELETRICISTA COM ENCARGOS COMPLEMENTARES</t>
  </si>
  <si>
    <t>De 0,25 % até 0,88%</t>
  </si>
  <si>
    <t>Seguros (S), Riscos e Garantias (G)</t>
  </si>
  <si>
    <t>6.7</t>
  </si>
  <si>
    <t>6.8</t>
  </si>
  <si>
    <t>15.0</t>
  </si>
  <si>
    <t>BDI PARA DEMAIS SERVIÇOS</t>
  </si>
  <si>
    <t>Obra / Equipamento</t>
  </si>
  <si>
    <t>O</t>
  </si>
  <si>
    <t>DESCRIÇÃO DOS SERVIÇOS</t>
  </si>
  <si>
    <t>UNIDADE</t>
  </si>
  <si>
    <t>EMBOÇO, PARA RECEBIMENTO DE CERÂMICA, EM ARGAMASSA TRAÇO 1:2:8, PREPARO MECÂNICO COM BETONEIRA 400L, APLICADO MANUALMENTE EM FACES INTERNAS DE PAREDES, PARA AMBIENTE COM ÁREA ENTRE 5M2 E 10M2, ESPESSURA DE 20MM, COM EXECUÇÃO DE TALISCAS. AF_06/2014</t>
  </si>
  <si>
    <t>9.14</t>
  </si>
  <si>
    <t>COMPOSIÇÃO DE PREÇO UNITÁRIO</t>
  </si>
  <si>
    <t>MAO-AJD-015</t>
  </si>
  <si>
    <t>MAO-OFC-035</t>
  </si>
  <si>
    <t>AJUDANTE DE ELETRICISTA COM ENCARGOS COMPLEMENTARES</t>
  </si>
  <si>
    <t xml:space="preserve">UN  </t>
  </si>
  <si>
    <t>CUSTO UNITÁRIO</t>
  </si>
  <si>
    <t>VALOR TOTAL</t>
  </si>
  <si>
    <t>REFERÊNCIA</t>
  </si>
  <si>
    <t>MAO-AJD-040</t>
  </si>
  <si>
    <t>MAO-OFC-075</t>
  </si>
  <si>
    <t>PEDREIRO COM ENCARGOS COMPLEMENTARES</t>
  </si>
  <si>
    <t>PORTA EM PERFIL E CHAPA METÁLICA</t>
  </si>
  <si>
    <t>PORTA DE SANITÁRIO COMPLETA, COM BATENTES DE FERRO, ESTRUTURA EM METALON 20 X 30 MM, FOLHA EM CHAPA GALVANIZADA Nº. 18, TRANQUETA E DOBRADIÇAS - 60 X 150 CM</t>
  </si>
  <si>
    <t>CRONOGRAMA FÍSICO FINANCEIRO - GERAL DA OBRA</t>
  </si>
  <si>
    <t xml:space="preserve">ISS=0,00%,PIS=0,65%,CONFINS=3,00%E CPRB=4,50% </t>
  </si>
  <si>
    <t>DRENAGEM PLUVIAL</t>
  </si>
  <si>
    <t xml:space="preserve">DESCONTO = </t>
  </si>
  <si>
    <t>PLANILHA ORÇAMENTÁRIA</t>
  </si>
  <si>
    <t>COTAÇÕES</t>
  </si>
  <si>
    <t>BOTÃO PULSATIVO DE COMANDO</t>
  </si>
  <si>
    <t>BARRAMENTO DE COBRE PARA 100 A</t>
  </si>
  <si>
    <t>BOTOEIRA (BOTÃO DE COMANDO DUPLO E BOTÃO COM FECHADURA DE SEGURANÇA)</t>
  </si>
  <si>
    <t>CAIXA DE MONTAGEM</t>
  </si>
  <si>
    <t>CONTATOR 3RT10-44</t>
  </si>
  <si>
    <t>DISPOSITIVO DE PROTEÇÃO CONTRA SURTOS - CLASSE II</t>
  </si>
  <si>
    <t>DISJUNTOR TRIPOLAR 100 A</t>
  </si>
  <si>
    <t>DISJUNTOR BIPOLAR 10 A</t>
  </si>
  <si>
    <t>INTERRUPTOR DR TETRAPOLAR 100 A</t>
  </si>
  <si>
    <t>QUADRO DE COMANDO 350X200X150</t>
  </si>
  <si>
    <t>DISJUNTOR MONOPOLAR 10 A</t>
  </si>
  <si>
    <t>DISJUNTOR MONOPOLAR 16 A</t>
  </si>
  <si>
    <t>DISJUNTOR MONOPOLAR 25 A</t>
  </si>
  <si>
    <t>DISJUNTOR TRIPOLAR 16 A</t>
  </si>
  <si>
    <t>DISJUNTOR TRIPOLAR 20 A</t>
  </si>
  <si>
    <t>DISJUNTOR TRIPOLAR 25 A</t>
  </si>
  <si>
    <t>DISJUNTOR TRIPOLAR 40 A</t>
  </si>
  <si>
    <t>DISJUNTOR TRIPOLAR 50 A</t>
  </si>
  <si>
    <t>DISJUNTOR TRIPOLAR 63 A</t>
  </si>
  <si>
    <t>DISJUNTOR TRIPOLAR 90 A</t>
  </si>
  <si>
    <t>DISJUNTOR TRIPOLAR 160 A</t>
  </si>
  <si>
    <t>DISJUNTOR TRIPOLAR EM CAIXA MOLDADA 630 A</t>
  </si>
  <si>
    <t>DISJUNTOR TRIPOLAR EM CAIXA MOLDADA 320 A</t>
  </si>
  <si>
    <t>INTERRUPTOR DR FASE/NEUTRO</t>
  </si>
  <si>
    <t>ELE-SUP-005</t>
  </si>
  <si>
    <t>ELE-DIS-046</t>
  </si>
  <si>
    <t>ELE-DIS-060</t>
  </si>
  <si>
    <t>ELE-DIS-038</t>
  </si>
  <si>
    <t>ELE-DIS-043</t>
  </si>
  <si>
    <t>ELE-DIS-050</t>
  </si>
  <si>
    <t>ELE-QUA-032</t>
  </si>
  <si>
    <t>ELE-DIS-036</t>
  </si>
  <si>
    <t>ELE-DIS-005</t>
  </si>
  <si>
    <t>ELE-QUA-015</t>
  </si>
  <si>
    <t>ELE-DIS-037</t>
  </si>
  <si>
    <t>ELE-DIS-042</t>
  </si>
  <si>
    <t>ELE-DIS-007</t>
  </si>
  <si>
    <t>ELE-DIS-041</t>
  </si>
  <si>
    <t>ELE-DIS-009</t>
  </si>
  <si>
    <t>ELE-QUA-025</t>
  </si>
  <si>
    <t>ELE-DIS-045</t>
  </si>
  <si>
    <t>ELE-QUA-020</t>
  </si>
  <si>
    <t>QUADRO DE DISTRIBUIÇÃO PARA 36 MÓDULOS COM BARRAMENTO 100 A</t>
  </si>
  <si>
    <t>QUADRO DE DISTRIBUIÇÃO PARA 42 MÓDULOS COM BARRAMENTO 100 A</t>
  </si>
  <si>
    <t>QUADRO DE DISTRIBUIÇÃO PARA 24 MÓDULOS COM BARRAMENTO 100 A</t>
  </si>
  <si>
    <t>QUADRO DE DISTRIBUIÇÃO DE LUZ EM PVC DE EMBUTIR, ATÉ 16 DIVISÕES MODULARES, DIMENSÕES EXTERNAS 260 X 310 X 85 MM</t>
  </si>
  <si>
    <t>74130/009</t>
  </si>
  <si>
    <t>74130/008</t>
  </si>
  <si>
    <t>CHAVE SECCIONADORA TRIPOLAR 160 A, ABERTURA SOB CARGA, COM FUSÍVEIS NH - 100A/250V - FORNECIMENTO E INSTALACAO</t>
  </si>
  <si>
    <t>ELETROTÉCNICO COM ENCARGOS COMPLEMENTARES</t>
  </si>
  <si>
    <t>SINAPI
88266</t>
  </si>
  <si>
    <t>SINAPI - 72345</t>
  </si>
  <si>
    <t>24.1</t>
  </si>
  <si>
    <t>24.2</t>
  </si>
  <si>
    <t>24.3</t>
  </si>
  <si>
    <t>SINAPI - 91980 E 91981</t>
  </si>
  <si>
    <t>25.1</t>
  </si>
  <si>
    <t>25.2</t>
  </si>
  <si>
    <t>25.3</t>
  </si>
  <si>
    <t>ORSE
11376</t>
  </si>
  <si>
    <t>QUADRO GERAL DE DISTRIBUIÇÃO DE EMBUTIR, COM BARRAMENTO TRIFÁSICO EM ESPINHA DE PEIXE 630 A, EM CHAPA GALVANIZADA, MEDINDO:1200X800X250CM, EXCLUSIVE DISJUNTORES</t>
  </si>
  <si>
    <t>27.1</t>
  </si>
  <si>
    <t>27.2</t>
  </si>
  <si>
    <t>27.3</t>
  </si>
  <si>
    <t>27.4</t>
  </si>
  <si>
    <t>27.5</t>
  </si>
  <si>
    <t>27.6</t>
  </si>
  <si>
    <t>SINAPI
87367</t>
  </si>
  <si>
    <t>ARGAMASSA TRAÇO 1:1:6 (CIMENTO, CAL E AREIA MÉDIA) PARA EMBOÇO/MASSA ÚNICA/ASSENTAMENTO DE ALVENARIA DE VEDAÇÃO, PREPARO MANUAL. AF_06/2014</t>
  </si>
  <si>
    <t>SINAPI - 83370</t>
  </si>
  <si>
    <t>ORSE
3803</t>
  </si>
  <si>
    <t>ORSE
3805</t>
  </si>
  <si>
    <t>ORSE
9425</t>
  </si>
  <si>
    <t>1.9</t>
  </si>
  <si>
    <t xml:space="preserve">ISS=2,00%,PIS=0,65%,CONFINS=3,00%E CPRB=4,50% </t>
  </si>
  <si>
    <t>REGIÃO/MÊS REFERÊNCIA:   
SINAPI 10/2020
SETOP 09/2020</t>
  </si>
  <si>
    <t>QUANTIDADES</t>
  </si>
  <si>
    <t>ESCOLA</t>
  </si>
  <si>
    <t>QUADRA</t>
  </si>
  <si>
    <t>ED-16660</t>
  </si>
  <si>
    <t>m²</t>
  </si>
  <si>
    <t>unid</t>
  </si>
  <si>
    <t>m</t>
  </si>
  <si>
    <t>mês</t>
  </si>
  <si>
    <t>ED-50150
IIO-LIG-005</t>
  </si>
  <si>
    <t>ED-50151
IIO-LIG-010</t>
  </si>
  <si>
    <t>EXECUÇÃO DE DEPÓSITO EM CANTEIRO DE OBRA EM CHAPA DE MADEIRA COMPENSADA, NÃO INCLUSO MOBILIÁRIO. AF_04/2016</t>
  </si>
  <si>
    <t>CERCA COM MOURÕES DE MADEIRA ROLIÇA, DIÂMETRO 11 CM, ESPAÇAMENTO DE 2,5 M, ALTURA LIVRE DE 1,7 M, CRAVADOS 0,5 M, COM 5 FIOS DE ARAME FARPAD
O Nº 14 CLASSE 250 - FORNECIMENTO E INSTALAÇÃO. AF_05/2020</t>
  </si>
  <si>
    <t>LASTRO DE CONCRETO MAGRO, APLICADO EM PISOS OU RADIERS, ESPESSURA DE 5 CM. AF_07/2016</t>
  </si>
  <si>
    <t>CONTRAPISO EM ARGAMASSA TRAÇO 1:4 (CIMENTO E AREIA), PREPARO MECÂNICO COM BETONEIRA 400 L, APLICADO EM ÁREAS SECAS SOBRE LAJE, ADERIDO, ESPESSURA 2CM. AF_06/2014</t>
  </si>
  <si>
    <t>ED-51002
SOL-GRA-005</t>
  </si>
  <si>
    <t>SOLEIRA DE GRANITO CINZA ANDORINHA E = 2 CM</t>
  </si>
  <si>
    <t>m³</t>
  </si>
  <si>
    <t>EXECUÇÃO DE PASSEIO (CALÇADA) OU PISO DE CONCRETO COM CONCRETO MOLDADO IN LOCO, FEITO EM OBRA, ACABAMENTO CONVENCIONAL, NÃO ARMADO. AF_07/2016</t>
  </si>
  <si>
    <t>EXECUÇÃO DE PASSEIO (CALÇADA) OU PISO DE CONCRETO COM CONCRETO MOLDADO IN LOCO, USINADO, ACABAMENTO CONVENCIONAL, ESPESSURA 10 CM, ARMADO. AF_07/2016</t>
  </si>
  <si>
    <t>ACABAMENTO POLIDO PARA PISO DE CONCRETO ARMADO DE ALTA RESISTÊNCIA. AF_09/2017</t>
  </si>
  <si>
    <t>ED-51123
TER-REG-010</t>
  </si>
  <si>
    <t>REVESTIMENTO CERÂMICO PARA PISO COM PLACAS TIPO ESMALTADA EXTRA DE DIMENSÕES 45X45 CM APLICADA EM AMBIENTES DE ÁREA ENTRE 5 M2 E 10 M2. AF_06/2014</t>
  </si>
  <si>
    <t>REVESTIMENTO CERÂMICO PARA PISO COM PLACAS TIPO ESMALTADA EXTRA DE DIMENSÕES 45X45 CM APLICADA EM AMBIENTES DE ÁREA MENOR QUE 5 M2. AF_06/2014</t>
  </si>
  <si>
    <t>REVESTIMENTO CERÂMICO PARA PISO COM PLACAS TIPO ESMALTADA EXTRA DE DIMENSÕES 45X45 CM APLICADA EM AMBIENTES DE ÁREA MAIOR QUE 10 M2. AF_06/2014</t>
  </si>
  <si>
    <t>LOCACAO CONVENCIONAL DE OBRA, UTILIZANDO GABARITO DE TÁBUAS CORRIDAS PONTALETADAS A CADA 2,00M - 2 UTILIZAÇÕES. AF_10/2018</t>
  </si>
  <si>
    <t>FORNECIMENTO E COLOCAÇÃO DE PLACA DE OBRA EM CHAPA GALVANIZADA #26, ESP. 0,45 MM, PLOTADA COM ADESIVO VINÍLICO, AFIXADA COM REBITES 4,8 X 40 MM, EM ESTRUTURA METÁLICA DE METALON 20 X 20 MM, ESP. 1,25 MM, INCLUSIVE SUPORTE EM EUCALIPTO AUTOCLAVADO PINTADO COM TINTA PVA - DUAS (2) DEMÃOS</t>
  </si>
  <si>
    <t>LIGAÇÃO DE ÁGUA PROVISÓRIA PARA CANTEIRO, INCLUSIVE HIDRÔMETRO E CAVALETE PARA MEDIÇÃO DE ÁGUA - ENTRADA PRINCIPAL, EM AÇO GALVANIZADO DN 20 MM (1/2") - PADRÃO CONCESSIONÁRIA</t>
  </si>
  <si>
    <t>LIGAÇÃO PROVISÓRIA DE LUZ E FORÇA - PADRÃO PROVISÓRIO 30 KVA</t>
  </si>
  <si>
    <t>ED-48439
DEM-CER-005</t>
  </si>
  <si>
    <t>REMOÇÃO DE CERCA</t>
  </si>
  <si>
    <t>ED-50266
LIM-GER-005</t>
  </si>
  <si>
    <t>LIMPEZA FINAL PARA ENTREGA DA OBRA</t>
  </si>
  <si>
    <t>1.10</t>
  </si>
  <si>
    <t>1.11</t>
  </si>
  <si>
    <t>ED-50997
PEI-GRA-005</t>
  </si>
  <si>
    <t>PEITORIL DE GRANITO CINZA ANDORINHA E = 2 CM</t>
  </si>
  <si>
    <t>ED-48343
BAN-GRA-005</t>
  </si>
  <si>
    <t>ED-48348
BAN-ROD-010</t>
  </si>
  <si>
    <t>ED-48351
BAN-TES-005</t>
  </si>
  <si>
    <t>ED-48533
DIV-PED-015</t>
  </si>
  <si>
    <t>BANCADA EM GRANITO CINZA ANDORINHA E = 3 CM, APOIADA EM CONSOLE DE METALON 20 X 30 MM</t>
  </si>
  <si>
    <t>ED-50830
SEE-ALÇ-005</t>
  </si>
  <si>
    <t>ALÇAPÃO (85,50 CM X 65,70 CM) ESTRUTURA EM CHAPA METÁLICA, ASSENTADA</t>
  </si>
  <si>
    <t>PLACA FOTOLUMINESCENTE "M2" - 570 X 285 MM</t>
  </si>
  <si>
    <t>PLACA FOTOLUMINESCENTE "M1" - 570 MM</t>
  </si>
  <si>
    <t>ED-50193
INC-EXT-016</t>
  </si>
  <si>
    <t>ED-50196
INC-LUM-005</t>
  </si>
  <si>
    <t>ED-50206
INC-PLA-040</t>
  </si>
  <si>
    <t>ED-50199
INC-PLA-005</t>
  </si>
  <si>
    <t>ED-50201
INC-PLA-015</t>
  </si>
  <si>
    <t>ED-50202
INC-PLA-020</t>
  </si>
  <si>
    <t>ED-50205
INC-PLA-035</t>
  </si>
  <si>
    <t>3.5</t>
  </si>
  <si>
    <t>3.6</t>
  </si>
  <si>
    <t>3.8</t>
  </si>
  <si>
    <t>3.9</t>
  </si>
  <si>
    <t>3.11</t>
  </si>
  <si>
    <t>3.12</t>
  </si>
  <si>
    <t>ESCAVAÇÃO MANUAL DE VALA COM PROFUNDIDADE MENOR OU IGUAL A 1,30 M. AF_03/2016</t>
  </si>
  <si>
    <t>ESTACA ESCAVADA MECANICAMENTE, SEM FLUIDO ESTABILIZANTE, COM 25CM DE DIÂMETRO, CONCRETO LANÇADO POR CAMINHÃO BETONEIRA (EXCLUSIVE MOBILIZAÇÃO E DESMOBILIZAÇÃO). AF_01/2020</t>
  </si>
  <si>
    <t>LASTRODECONCRETOMAGRO,INCLUSIVETRANSPORTE,LANÇAMENTO E ADENSAMENTO</t>
  </si>
  <si>
    <t>FABRICAÇÃO, MONTAGEM E DESMONTAGEM DE FÔRMA PARA VIGA BALDRAME, EM CHAPA DE MADEIRA COMPENSADA RESINADA, E=17 MM, 2 UTILIZAÇÕES. AF_06/2017</t>
  </si>
  <si>
    <t>FABRICAÇÃO, MONTAGEM E DESMONTAGEM DE FÔRMA PARA BLOCO DE COROAMENTO, EM CHAPA DE MADEIRA COMPENSADA RESINADA, E=17 MM, 2 UTILIZAÇÕES. AF_06/2017</t>
  </si>
  <si>
    <t>ARMAÇÃO DE BLOCO, VIGA BALDRAME E SAPATA UTILIZANDO AÇO CA-60 DE 5 MM - MONTAGEM. AF_06/2017</t>
  </si>
  <si>
    <t>ARMAÇÃO DE BLOCO, VIGA BALDRAME OU SAPATA UTILIZANDO AÇO CA-50 DE 10 MM - MONTAGEM. AF_06/2017</t>
  </si>
  <si>
    <t>ARMAÇÃO DE BLOCO, VIGA BALDRAME OU SAPATA UTILIZANDO AÇO CA-50 DE 8 MM - MONTAGEM. AF_06/2017</t>
  </si>
  <si>
    <t>LANÇAMENTO COM USO DE BOMBA, ADENSAMENTO E ACABAMENTO DE CONCRETO EM ESTRUTURAS. AF_12/2015</t>
  </si>
  <si>
    <t>PINTURA COM EMULSÃO ASFÁLTICA, DUAS (2) DEMÃOS</t>
  </si>
  <si>
    <t>Kg</t>
  </si>
  <si>
    <t>MONTAGEM E DESMONTAGEM DE FÔRMA DE VIGA, ESCORAMENTO COM PONTALETE DE MADEIRA, PÉ-DIREITO SIMPLES, EM MADEIRA SERRADA, 4 UTILIZAÇÕES. AF_09/2020</t>
  </si>
  <si>
    <t>MONTAGEM E DESMONTAGEM DE FÔRMA DE PILARES RETANGULARES E ESTRUTURAS SIMILARES, PÉ-DIREITO SIMPLES, EM MADEIRA SERRADA, 2 UTILIZAÇÕES. AF_09/2020</t>
  </si>
  <si>
    <t>CONCRETAGEM DE PILARES, FCK = 25 MPA, COM USO DE BOMBA EM EDIFICAÇÃO COM SEÇÃO MÉDIA DE PILARES MENOR OU IGUAL A 0,25 M² - LANÇAMENTO, ADENSAMENTO E ACABAMENTO. AF_12/2015</t>
  </si>
  <si>
    <t>ARMAÇÃO DE PILAR OU VIGA DE UMA ESTRUTURA CONVENCIONAL DE CONCRETO ARMADO EM UMA EDIFICAÇÃO TÉRREA OU SOBRADO UTILIZANDO AÇO CA-60 DE 5,0 MM - MONTAGEM. AF_12/2015</t>
  </si>
  <si>
    <t>ARMAÇÃO DE PILAR OU VIGA DE UMA ESTRUTURA CONVENCIONAL DE CONCRETO ARMADO EM UMA EDIFICAÇÃO TÉRREA OU SOBRADO UTILIZANDO AÇO CA-50 DE 8,0 MM - MONTAGEM. AF_12/2015</t>
  </si>
  <si>
    <t>ARMAÇÃO DE PILAR OU VIGA DE UMA ESTRUTURA CONVENCIONAL DE CONCRETO ARMADO EM UMA EDIFICAÇÃO TÉRREA OU SOBRADO UTILIZANDO AÇO CA-50 DE 10,0 MM - MONTAGEM. AF_12/2015</t>
  </si>
  <si>
    <t>LAJE PRE-MOLD BETA 11 P/1KN/M2 VAOS 4,40M/INCL VIGOTAS TIJOLOS ARMADURA NEGATIVA CAPEAMENTO 3CM CONCRETO 20MPA ESCORAMENTO MATERIAL E MAO  DE OBRA.</t>
  </si>
  <si>
    <t>ARMAÇÃO DE LAJE DE UMA ESTRUTURA CONVENCIONAL DE CONCRETO ARMADO EM UMA EDIFICAÇÃO TÉRREA OU SOBRADO UTILIZANDO AÇO CA-60 DE 5,0 MM - MONTAGEM. AF_12/2015</t>
  </si>
  <si>
    <t>74141/001</t>
  </si>
  <si>
    <t>ALVENARIA DE VEDAÇÃO DE BLOCOS CERÂMICOS FURADOS NA VERTICAL DE 14X19X39CM (ESPESSURA 14CM) DE PAREDES COM ÁREA LÍQUIDA MAIOR OU IGUAL A 6M² COM VÃOS E ARGAMASSA DE ASSENTAMENTO COM PREPARO EM BETONEIRA. AF_06/2014</t>
  </si>
  <si>
    <t>ALVENARIA DE VEDAÇÃO DE BLOCOS CERÂMICOS FURADOS NA HORIZONTAL DE 11,5X19X19CM (ESPESSURA 11,5M) DE PAREDES COM ÁREA LÍQUIDA MAIOR OU IGUAL A 6M² SEM VÃOS E ARGAMASSA DE ASSENTAMENTO COM PREPARO EM BETONEIRA. AF_06/2014</t>
  </si>
  <si>
    <t>VERGA MOLDADA IN LOCO COM UTILIZAÇÃO DE BLOCOS CANALETA PARA PORTAS COM ATÉ 1,5 M DE VÃO. AF_03/2016</t>
  </si>
  <si>
    <t>VERGA MOLDADA IN LOCO COM UTILIZAÇÃO DE BLOCOS CANALETA PARA PORTAS COM MAIS DE 1,5 M DE VÃO. AF_03/2016</t>
  </si>
  <si>
    <t>CONTRAVERGA MOLDADA IN LOCO COM UTILIZAÇÃO DE BLOCOS CANALETA PARA VÃOS DE MAIS DE 1,5 M DE COMPRIMENTO. AF_03/2016</t>
  </si>
  <si>
    <t>ED-50727
REV-CHA-005</t>
  </si>
  <si>
    <t>ED-50728
REV-CHA-006</t>
  </si>
  <si>
    <t>ED-50759
REV-REB-005</t>
  </si>
  <si>
    <t>CHAPISCO COM ARGAMASSA, TRAÇO 1:3 (CIMENTO E AREIA), ESP. 5 MM, APLICADO EM ALVENARIA/ESTRUTURA DE CONCRETO COM COLHER, PREPARO MECÂNICO</t>
  </si>
  <si>
    <t>CHAPISCO COM ARGAMASSA, TRAÇO 1:3 (CIMENTO E AREIA), ESP. 5 MM, APLICADO EM TETO COM COLHER, PREPARO MECÂNICO</t>
  </si>
  <si>
    <t>REBOCO COM ARGAMASSA, TRAÇO 1:7 (CIMENTO E AREIA), ESP. 20 MM, APLICAÇÃO MANUAL, PREPARO MECÂNICO</t>
  </si>
  <si>
    <t>EMBOÇO, PARA RECEBIMENTO DE CERÂMICA, EM ARGAMASSA TRAÇO 1:2:8, PREPARO MECÂNICO COM BETONEIRA 400L, APLICADO MANUALMENTE EM FACES INTERNAS DE PAREDES, PARA AMBIENTE COM ÁREA MENOR QUE 5M2, ESPESSURA DE 20MM, COM EXECUÇÃO DE TALISCAS. AF_06/2014</t>
  </si>
  <si>
    <t>EMBOÇO, PARA RECEBIMENTO DE CERÂMICA, EM ARGAMASSA TRAÇO 1:2:8, PREPARO MECÂNICO COM BETONEIRA 400L, APLICADO MANUALMENTE EM FACES INTERNAS DE PAREDES, PARA AMBIENTE COM ÁREA MAIOR QUE 10M2, ESPESSURA DE 20MM, COM EXECUÇÃO DE TALISCAS. AF_06/2014</t>
  </si>
  <si>
    <t>REVESTIMENTO CERÂMICO PARA PAREDES INTERNAS COM PLACAS TIPO ESMALTADA EXTRA DE DIMENSÕES 33X45 CM APLICADAS EM AMBIENTES DE ÁREA MENOR QUE 5 M² NA ALTURA INTEIRA DAS PAREDES. AF_06/2014</t>
  </si>
  <si>
    <t>REVESTIMENTO CERÂMICO PARA PAREDES INTERNAS COM PLACAS TIPO ESMALTADA EXTRA DE DIMENSÕES 33X45 CM APLICADAS EM AMBIENTES DE ÁREA MAIOR QUE 5 M² NA ALTURA INTEIRA DAS PAREDES. AF_06/2014</t>
  </si>
  <si>
    <t>7.9</t>
  </si>
  <si>
    <t>7.10</t>
  </si>
  <si>
    <t>7.11</t>
  </si>
  <si>
    <t>7.12</t>
  </si>
  <si>
    <t>8.3</t>
  </si>
  <si>
    <t>8.4</t>
  </si>
  <si>
    <t>8.5</t>
  </si>
  <si>
    <t>8.6</t>
  </si>
  <si>
    <t>8.7</t>
  </si>
  <si>
    <t>8.8</t>
  </si>
  <si>
    <t>ED-49668
EST-MET-035</t>
  </si>
  <si>
    <t>FORNECIMENTO, FABRICAÇÃO, TRANSPORTE E MONTAGEM DE ESTRUTURA METÁLICA PARA TELHADO SOBRE LAJE PARA TELHAS METÁLICAS, INCLUSIVE PINTURA PRIMER</t>
  </si>
  <si>
    <t>ED-49664
EST-MET-005</t>
  </si>
  <si>
    <t>FORNECIMENTO, FABRICAÇÃO, TRANSPORTE E MONTAGEM DE ESTRUTURA METÁLICA EM PERFIS LAMINADOS, INCLUSIVE PINTURA PRIMER</t>
  </si>
  <si>
    <t>TELHAMENTO COM TELHA DE AÇO/ALUMÍNIO E = 0,5 MM, COM ATÉ 2 ÁGUAS, INCLUSO IÇAMENTO. AF_07/2019</t>
  </si>
  <si>
    <t>TELHAMENTO COM TELHA ONDULADA DE FIBROCIMENTO E = 6 MM, COM RECOBRIMENTO LATERAL DE 1 1/4 DE ONDA PARA TELHADO COM INCLINAÇÃO MÁXIMA DE 10°, COM ATÉ 2 ÁGUAS, INCLUSO IÇAMENTO. AF_07/2019</t>
  </si>
  <si>
    <t>ED-50667
PLU-CHA-005</t>
  </si>
  <si>
    <t>RUFO EM CHAPA DE AÇO GALVANIZADO NÚMERO 24, CORTE DE 25 CM, INCLUSO TRANSPORTE VERTICAL. AF_07/2019</t>
  </si>
  <si>
    <t>CALHA EM CHAPA DE AÇO GALVANIZADO NÚMERO 24, DESENVOLVIMENTO DE 100 CM, INCLUSO TRANSPORTE VERTICAL. AF_07/2019</t>
  </si>
  <si>
    <t>ED-50979
SER-POR-035</t>
  </si>
  <si>
    <t>ED-50976
SER-POR-025</t>
  </si>
  <si>
    <t>PORTA EM AÇO DE ABRIR TIPO VENEZIANA SEM GUARNIÇÃO, 87X210CM, FIXAÇÃO COM PARAFUSOS - FORNECIMENTO E INSTALAÇÃO. AF_12/2019</t>
  </si>
  <si>
    <t>JANELA DE AÇO TIPO BASCULANTE PARA VIDROS, COM BATENTE, FERRAGENS E PINTURA ANTICORROSIVA. EXCLUSIVE VIDROS, ACABAMENTO, ALIZAR E CONTRAMARCO. FORNECIMENTO E INSTALAÇÃO. AF_12/2019</t>
  </si>
  <si>
    <t>VIDRO FANTASIA TIPO CANELADO, ESPESSURA 4MM</t>
  </si>
  <si>
    <t>GRADIL EM FERRO FIXADO EM VÃOS DE JANELAS, FORMADO POR BARRAS CHATAS DE 25X4,8 MM. AF_04/2019</t>
  </si>
  <si>
    <t>10.9</t>
  </si>
  <si>
    <t>10.13</t>
  </si>
  <si>
    <t>10.14</t>
  </si>
  <si>
    <t>10.15</t>
  </si>
  <si>
    <t>74245/001</t>
  </si>
  <si>
    <t>73978/001</t>
  </si>
  <si>
    <t>ED-50509
PIN-OLE-005</t>
  </si>
  <si>
    <t>APLICAÇÃO E LIXAMENTO DE MASSA LÁTEX EM PAREDES, DUAS DEMÃOS. AF_06/2014</t>
  </si>
  <si>
    <t>APLICAÇÃO E LIXAMENTO DE MASSA LÁTEX EM TETO, DUAS DEMÃOS. AF_06/2014</t>
  </si>
  <si>
    <t>APLICAÇÃO DE FUNDO SELADOR ACRÍLICO EM PAREDES, UMA DEMÃO. AF_06/2014</t>
  </si>
  <si>
    <t>APLICAÇÃO DE FUNDO SELADOR ACRÍLICO EM TETO, UMA DEMÃO. AF_06/2014</t>
  </si>
  <si>
    <t>APLICAÇÃO MANUAL DE PINTURA COM TINTA LÁTEX PVA EM PAREDES, DUAS DEMÃOS. AF_06/2014</t>
  </si>
  <si>
    <t>APLICAÇÃO MANUAL DE PINTURA COM TINTA LÁTEX PVA EM TETO, DUAS DEMÃOS. AF_06/2014</t>
  </si>
  <si>
    <t>APLICAÇÃO MANUAL DE PINTURA COM TINTA LÁTEX ACRÍLICA EM PAREDES, DUAS DEMÃOS. AF_06/2014</t>
  </si>
  <si>
    <t>APLICAÇÃO MANUAL DE PINTURA COM TINTA LÁTEX ACRÍLICA EM TETO, DUAS DEMÃOS. AF_06/2014</t>
  </si>
  <si>
    <t>PINTURA ESMALTE EM SUPERFÍCIE DE CONCRETO/ALVENARIA, DUAS (2) DEMÃOS, EXCLUSIVE SELADOR ACRÍLICO E MASSA ACRÍLICA/CORRIDA (PVA)</t>
  </si>
  <si>
    <t>PINTURA ACRILICA EM PISO CIMENTADO DUAS DEMAOS</t>
  </si>
  <si>
    <t>PINTURA ACRILICA DE FAIXAS DE DEMARCACAO EM QUADRA POLIESPORTIVA, 5 CM DE LARGURA</t>
  </si>
  <si>
    <t>PINTURA HIDROFUGANTE COM SILICONE SOBRE PISO CIMENTADO, UMA DEMAO</t>
  </si>
  <si>
    <t>ED-49569
EQP-ESP-005</t>
  </si>
  <si>
    <t>ED-49574
EQP-ESP-030</t>
  </si>
  <si>
    <t>ED-49572
EQP-ESP-020</t>
  </si>
  <si>
    <t>TRAVE DE GOL EM TUBO GALVANIZADO PARA QUADRA, INCLUSIVE REDE E PINTURA</t>
  </si>
  <si>
    <t>TABELA DE BASQUETE EM POSTE METÁLICO E SUPORTE DE PISO</t>
  </si>
  <si>
    <t>cj</t>
  </si>
  <si>
    <t>REDE DE VÔLEI COM MASTRO EM TUBO GALVANIZADO SEM PEDESTAL</t>
  </si>
  <si>
    <t>12.1.8</t>
  </si>
  <si>
    <t>12.1.9</t>
  </si>
  <si>
    <t>12.1.10</t>
  </si>
  <si>
    <t>12.1.11</t>
  </si>
  <si>
    <t>12.1.12</t>
  </si>
  <si>
    <t>ED-48176
ACE-CAB-015</t>
  </si>
  <si>
    <t>ED-48182
ACE-PAP-020</t>
  </si>
  <si>
    <t>MICTÓRIO SIFONADO LOUÇA BRANCA PADRÃO MÉDIO FORNECIMENTO E INSTALAÇÃO. AF_01/2020</t>
  </si>
  <si>
    <t>VASO SANITARIO SIFONADO CONVENCIONAL COM LOUÇA BRANCA, INCLUSO CONJUNTO DE LIGAÇÃO PARA BACIA SANITÁRIA AJUSTÁVEL - FORNECIMENTO E INSTALAÇÃO. AF_10/2016</t>
  </si>
  <si>
    <t>ASSENTO SANITÁRIO CONVENCIONAL - FORNECIMENTO E INSTALACAO. AF_01/2020</t>
  </si>
  <si>
    <t>BARRA DE APOIO RETA, EM ACO INOX POLIDO, COMPRIMENTO 80 CM, FIXADA NA PAREDE - FORNECIMENTO E INSTALAÇÃO. AF_01/2020</t>
  </si>
  <si>
    <t>BARRA DE APOIO RETA, EM ACO INOX POLIDO, COMPRIMENTO 70 CM, FIXADA NA PAREDE - FORNECIMENTO E INSTALAÇÃO. AF_01/2020</t>
  </si>
  <si>
    <t>PAPELEIRA DE PAREDE EM METAL CROMADO SEM TAMPA, INCLUSO FIXAÇÃO. AF_01/2020</t>
  </si>
  <si>
    <t>CHUVEIRO ELÉTRICO COMUM CORPO PLÁSTICO, TIPO DUCHA FORNECIMENTO E INSTALAÇÃO. AF_01/2020</t>
  </si>
  <si>
    <t>SABONETEIRA DE PAREDE EM METAL CROMADO, INCLUSO FIXAÇÃO. AF_01/2020</t>
  </si>
  <si>
    <t>CUBA DE EMBUTIR OVAL EM LOUÇA BRANCA, 35 X 50CM OU EQUIVALENTE, INCLUSO VÁLVULA E SIFÃO TIPO GARRAFA EM METAL CROMADO - FORNECIMENTO E INSTALAÇÃO. AF_01/2020</t>
  </si>
  <si>
    <t>TORNEIRA CROMADA DE MESA, 1/2 OU 3/4, PARA LAVATÓRIO, PADRÃO MÉDIO - FORNECIMENTO E INSTALAÇÃO. AF_01/2020</t>
  </si>
  <si>
    <t>DISPENSER EM PLÁSTICO PARA PAPEL TOALHA 2 OU 3 FOLHAS</t>
  </si>
  <si>
    <t>CABO DE COBRE FLEXÍVEL ISOLADO, 1,5 MM², ANTI-CHAMA 450/750 V, PARA CIRCUITOS TERMINAIS - FORNECIMENTO E INSTALAÇÃO. AF_12/2015</t>
  </si>
  <si>
    <t>CABO DE COBRE FLEXÍVEL ISOLADO, 2,5 MM², ANTI-CHAMA 450/750 V, PARA CIRCUITOS TERMINAIS - FORNECIMENTO E INSTALAÇÃO. AF_12/2015</t>
  </si>
  <si>
    <t>CABO DE COBRE FLEXÍVEL ISOLADO, 10 MM², ANTI-CHAMA 450/750 V, PARA CIRCUITOS TERMINAIS - FORNECIMENTO E INSTALAÇÃO. AF_12/2015</t>
  </si>
  <si>
    <t>CABO DE COBRE FLEXÍVEL ISOLADO, 16 MM², ANTI-CHAMA 450/750 V, PARA DISTRIBUIÇÃO - FORNECIMENTO E INSTALAÇÃO. AF_12/2015</t>
  </si>
  <si>
    <t>CAIXA OCTOGONAL 4" X 4", METÁLICA, INSTALADA EM LAJE - FORNECIMENTO E INSTALAÇÃO. AF_12/2015</t>
  </si>
  <si>
    <t>CAIXA RETANGULAR 4" X 2" BAIXA (0,30 M DO PISO), METÁLICA, INSTALADA EM PAREDE - FORNECIMENTO E INSTALAÇÃO. AF_12/2015</t>
  </si>
  <si>
    <t>CAIXA RETANGULAR 4" X 2" MÉDIA (1,30 M DO PISO), METÁLICA, INSTALADA EM PAREDE - FORNECIMENTO E INSTALAÇÃO. AF_12/2015</t>
  </si>
  <si>
    <t>CAIXA RETANGULAR 4" X 2" ALTA (2,00 M DO PISO), METÁLICA, INSTALADA EM PAREDE - FORNECIMENTO E INSTALAÇÃO. AF_12/2015</t>
  </si>
  <si>
    <t>ELETRODUTO FLEXÍVEL CORRUGADO REFORÇADO, PVC, DN 25 MM (3/4"), PARA CIRCUITOS TERMINAIS, INSTALADO EM PAREDE - FORNECIMENTO E INSTALAÇÃO. AF_12/2015</t>
  </si>
  <si>
    <t>ELETRODUTO FLEXÍVEL CORRUGADO REFORÇADO, PVC, DN 25 MM (3/4"), PARA CIRCUITOS TERMINAIS, INSTALADO EM LAJE - FORNECIMENTO E INSTALAÇÃO. AF_12/2015</t>
  </si>
  <si>
    <t>ELETRODUTO DE AÇO GALVANIZADO, CLASSE LEVE, DN 20 MM (3/4), APARENTE, INSTALADO EM TETO - FORNECIMENTO E INSTALAÇÃO. AF_11/2016_P</t>
  </si>
  <si>
    <t>RASGO EM ALVENARIA PARA ELETRODUTOS COM DIAMETROS MENORES OU IGUAIS A 40 MM. AF_05/2015</t>
  </si>
  <si>
    <t>RASGO EM ALVENARIA PARA RAMAIS/ DISTRIBUIÇÃO COM DIÂMETROS MAIORES QUE 40 MM E MENORES OU IGUAIS A 75 MM. AF_05/2015</t>
  </si>
  <si>
    <t>CHUMBAMENTO LINEAR EM ALVENARIA PARA RAMAIS/DISTRIBUIÇÃO COM DIÂMETROS MENORES OU IGUAIS A 40 MM. AF_05/2015</t>
  </si>
  <si>
    <t>CHUMBAMENTO LINEAR EM ALVENARIA PARA RAMAIS/DISTRIBUIÇÃO COM DIÂMETROS MAIORES QUE 40 MM E MENORES OU IGUAIS A 75 MM. AF_05/2015</t>
  </si>
  <si>
    <t>TOMADA BAIXA DE EMBUTIR (1 MÓDULO), 2P+T 10 A, INCLUINDO SUPORTE E PLACA - FORNECIMENTO E INSTALAÇÃO. AF_12/2015</t>
  </si>
  <si>
    <t>TOMADA ALTA DE EMBUTIR (1 MÓDULO), 2P+T 10 A, INCLUINDO SUPORTE E PLACA - FORNECIMENTO E INSTALAÇÃO. AF_12/2015</t>
  </si>
  <si>
    <t>QUADRO DE DISTRIBUIÇÃO DE ENERGIA EM CHAPA DE AÇO GALVANIZADO, DE EMBUTIR, COM BARRAMENTO TRIFÁSICO, PARA 30 DISJUNTORES DIN 150A - FORNECIMENTO E INSTALAÇÃO. AF_10/2020</t>
  </si>
  <si>
    <t>QUEBRA EM ALVENARIA PARA INSTALAÇÃO DE QUADRO DISTRIBUIÇÃO GRANDE (76X40 CM). AF_05/2015</t>
  </si>
  <si>
    <t>LUMINÁRIA TIPO CALHA, DE SOBREPOR, COM 2 LÂMPADAS TUBULARES FLUORESCENTES DE 18 W, COM REATOR DE PARTIDA RÁPIDA - FORNECIMENTO E INSTALAÇÃO. AF_02/2020</t>
  </si>
  <si>
    <t>REFLETOR RETANGULAR FECHADO, COM LÂMPADA VAPOR METÁLICO 400 W - FORNECIMENTO E INSTALAÇÃO. AF_08/2020</t>
  </si>
  <si>
    <t>ENTRADADEENERGIAEMCAIXADECHAPADEAÇO,DIMENSÕES500 X 600 X 270 MM, POTÊNCIA DE 25 A 30 KW</t>
  </si>
  <si>
    <t>ENVELOPEDECONCRETOPARAPROTEÇÃODETUBOSDEPVCENTERRADO - CONCRETO TIPO A FCK = 13,5 MPA</t>
  </si>
  <si>
    <t>HASTE DE ATERRAMENTO 5/8  PARA SPDA - FORNECIMENTO E INSTALAÇÃO. AF_12/2017</t>
  </si>
  <si>
    <t>CORDOALHA DE COBRE NU 50 MM², ENTERRADA, SEM ISOLADOR - FORNECIMENTO E INSTALAÇÃO. AF_12/2017</t>
  </si>
  <si>
    <t>INTERRUPTOR SIMPLES (1 MÓDULO), 10A/250V, INCLUINDO SUPORTE E PLACA - FORNECIMENTO E INSTALAÇÃO. AF_12/2015</t>
  </si>
  <si>
    <t>INTERRUPTOR SIMPLES (3 MÓDULOS), 10A/250V, INCLUINDO SUPORTE E PLACA - FORNECIMENTO E INSTALAÇÃO. AF_12/2015</t>
  </si>
  <si>
    <t>DISJUNTOR MONOPOLAR TIPO DIN, CORRENTE NOMINAL DE 16A - FORNECIMENTO E INSTALAÇÃO. AF_10/2020</t>
  </si>
  <si>
    <t>DISJUNTOR BIPOLAR TIPO DIN, CORRENTE NOMINAL DE 16A - FORNECIMENTO E INSTALAÇÃO. AF_10/2020</t>
  </si>
  <si>
    <t>DISJUNTOR BIPOLAR TIPO DIN, CORRENTE NOMINAL DE 32A - FORNECIMENTO E INSTALAÇÃO. AF_10/2020</t>
  </si>
  <si>
    <t>DISJUNTOR TRIPOLAR TERMOMAGNÉTICO 10KA, DE 125A</t>
  </si>
  <si>
    <t>SUPRESSORDESURTOPARAPROTEÇÃOPRIMÁRIAEMQGD,ATÉ1,5 KV - 5 KA</t>
  </si>
  <si>
    <t>ELE-EEN-030</t>
  </si>
  <si>
    <t>ELE-ENV-005</t>
  </si>
  <si>
    <t>ELE-DIS-048</t>
  </si>
  <si>
    <t>REGISTRO DE GAVETA BRUTO, LATÃO, ROSCÁVEL, 2 1/2, INSTALADO EM RESERVAÇÃO DE ÁGUA DE EDIFICAÇÃO QUE POSSUA RESERVATÓRIO DE FIBRA/FIBROCIMENTO FORNECIMENTO E INSTALAÇÃO. AF_06/2016</t>
  </si>
  <si>
    <t>PLACA FOTOLUMINESCENTE "S12" - 380 X 190 MM (SAÍDA)</t>
  </si>
  <si>
    <t>12.2.2</t>
  </si>
  <si>
    <t>12.2.3</t>
  </si>
  <si>
    <t>12.2.4</t>
  </si>
  <si>
    <t>12.2.7</t>
  </si>
  <si>
    <t>12.2.8</t>
  </si>
  <si>
    <t>12.2.14</t>
  </si>
  <si>
    <t>12.2.15</t>
  </si>
  <si>
    <t>12.2.17</t>
  </si>
  <si>
    <t>12.2.18</t>
  </si>
  <si>
    <t>12.2.20</t>
  </si>
  <si>
    <t>12.2.21</t>
  </si>
  <si>
    <t>12.2.22</t>
  </si>
  <si>
    <t>12.2.24</t>
  </si>
  <si>
    <t>12.2.25</t>
  </si>
  <si>
    <t>12.2.27</t>
  </si>
  <si>
    <t>JOELHO 90 GRAUS, PVC, SERIE NORMAL, ESGOTO PREDIAL, DN 40 MM, JUNTA SOLDÁVEL, FORNECIDO E INSTALADO EM RAMAL DE DESCARGA OU RAMAL DE ESGOTO SANITÁRIO. AF_12/2014</t>
  </si>
  <si>
    <t>JOELHO 45 GRAUS, PVC, SERIE NORMAL, ESGOTO PREDIAL, DN 40 MM, JUNTA SOLDÁVEL, FORNECIDO E INSTALADO EM RAMAL DE DESCARGA OU RAMAL DE ESGOTO SANITÁRIO. AF_12/2014</t>
  </si>
  <si>
    <t>JOELHO 90 GRAUS, PVC, SERIE NORMAL, ESGOTO PREDIAL, DN 50 MM, JUNTA ELÁSTICA, FORNECIDO E INSTALADO EM RAMAL DE DESCARGA OU RAMAL DE ESGOTO SANITÁRIO. AF_12/2014</t>
  </si>
  <si>
    <t>JOELHO 45 GRAUS, PVC, SERIE NORMAL, ESGOTO PREDIAL, DN 50 MM, JUNTA ELÁSTICA, FORNECIDO E INSTALADO EM RAMAL DE DESCARGA OU RAMAL DE ESGOTO SANITÁRIO. AF_12/2014</t>
  </si>
  <si>
    <t>JOELHO 90 GRAUS, PVC, SERIE NORMAL, ESGOTO PREDIAL, DN 100 MM, JUNTA ELÁSTICA, FORNECIDO E INSTALADO EM RAMAL DE DESCARGA OU RAMAL DE ESGOTO SANITÁRIO. AF_12/2014</t>
  </si>
  <si>
    <t>JOELHO 45 GRAUS, PVC, SERIE NORMAL, ESGOTO PREDIAL, DN 100 MM, JUNTA ELÁSTICA, FORNECIDO E INSTALADO EM RAMAL DE DESCARGA OU RAMAL DE ESGOTO SANITÁRIO. AF_12/2014</t>
  </si>
  <si>
    <t>JUNÇÃO SIMPLES, PVC, SERIE NORMAL, ESGOTO PREDIAL, DN 100 X 100 MM, JUNTA ELÁSTICA, FORNECIDO E INSTALADO EM RAMAL DE DESCARGA OU RAMAL DE ESGOTO SANITÁRIO. AF_12/2014</t>
  </si>
  <si>
    <t>TE, PVC, SERIE NORMAL, ESGOTO PREDIAL, DN 50 X 50 MM, JUNTA ELÁSTICA,FORNECIDO E INSTALADO EM RAMAL DE DESCARGA OU RAMAL DE ESGOTO SANITÁRIO. AF_12/2014</t>
  </si>
  <si>
    <t>LUVA SIMPLES, PVC, SERIE NORMAL, ESGOTO PREDIAL, DN 40 MM, JUNTA SOLDÁVEL, FORNECIDO E INSTALADO EM RAMAL DE DESCARGA OU RAMAL DE ESGOTO SANITÁRIO. AF_12/2014</t>
  </si>
  <si>
    <t>LUVA SIMPLES, PVC, SERIE NORMAL, ESGOTO PREDIAL, DN 50 MM, JUNTA SOLDÁVEL, FORNECIDO E INSTALADO EM RAMAL DE DESCARGA OU RAMAL DE ESGOTO SANITÁRIO. AF_12/2014</t>
  </si>
  <si>
    <t>LUVA SIMPLES, PVC, SERIE NORMAL, ESGOTO PREDIAL, DN 100 MM, JUNTA ELÁSTICA, FORNECIDO E INSTALADO EM RAMAL DE DESCARGA OU RAMAL DE ESGOTO SANITÁRIO. AF_12/2014</t>
  </si>
  <si>
    <t>TUBO PVC, SERIE NORMAL, ESGOTO PREDIAL, DN 40 MM, FORNECIDO E INSTALADO EM RAMAL DE DESCARGA OU RAMAL DE ESGOTO SANITÁRIO. AF_12/2014</t>
  </si>
  <si>
    <t>TUBO PVC, SERIE NORMAL, ESGOTO PREDIAL, DN 50 MM, FORNECIDO E INSTALADO EM RAMAL DE DESCARGA OU RAMAL DE ESGOTO SANITÁRIO. AF_12/2014</t>
  </si>
  <si>
    <t>TUBO PVC, SERIE NORMAL, ESGOTO PREDIAL, DN 100 MM, FORNECIDO E INSTALADO EM RAMAL DE DESCARGA OU RAMAL DE ESGOTO SANITÁRIO. AF_12/2014</t>
  </si>
  <si>
    <t>CAIXA SIFONADA, PVC, DN 100 X 100 X 50 MM, JUNTA ELÁSTICA, FORNECIDA EINSTALADA EM RAMAL DE DESCARGA OU EM RAMAL DE ESGOTO SANITÁRIO. AF_12/2014</t>
  </si>
  <si>
    <t>CAIXA ENTERRADA HIDRÁULICA RETANGULAR, EM ALVENARIA COM BLOCOS DE CONCRETO, DIMENSÕES INTERNAS: 0,6X0,6X0,6 M PARA REDE DE ESGOTO. AF_05/2018</t>
  </si>
  <si>
    <t>89724</t>
  </si>
  <si>
    <t>89726</t>
  </si>
  <si>
    <t>89731</t>
  </si>
  <si>
    <t>89732</t>
  </si>
  <si>
    <t>89744</t>
  </si>
  <si>
    <t>89746</t>
  </si>
  <si>
    <t>89797</t>
  </si>
  <si>
    <t>89784</t>
  </si>
  <si>
    <t>89752</t>
  </si>
  <si>
    <t>89753</t>
  </si>
  <si>
    <t>89778</t>
  </si>
  <si>
    <t>89711</t>
  </si>
  <si>
    <t>89712</t>
  </si>
  <si>
    <t>89714</t>
  </si>
  <si>
    <t>89707</t>
  </si>
  <si>
    <t>97906</t>
  </si>
  <si>
    <t>12.3.4</t>
  </si>
  <si>
    <t>12.3.6</t>
  </si>
  <si>
    <t>12.3.7</t>
  </si>
  <si>
    <t>12.3.8</t>
  </si>
  <si>
    <t>12.3.9</t>
  </si>
  <si>
    <t>12.3.10</t>
  </si>
  <si>
    <t>12.3.11</t>
  </si>
  <si>
    <t>12.3.12</t>
  </si>
  <si>
    <t>12.3.13</t>
  </si>
  <si>
    <t>12.3.14</t>
  </si>
  <si>
    <t>12.3.15</t>
  </si>
  <si>
    <t>12.3.16</t>
  </si>
  <si>
    <t>12.3.17</t>
  </si>
  <si>
    <t>12.3.18</t>
  </si>
  <si>
    <t>12.3.19</t>
  </si>
  <si>
    <t>12.3.20</t>
  </si>
  <si>
    <t>12.3.21</t>
  </si>
  <si>
    <t>12.3.22</t>
  </si>
  <si>
    <t>12.3.23</t>
  </si>
  <si>
    <t>12.3.24</t>
  </si>
  <si>
    <t>12.3.25</t>
  </si>
  <si>
    <t>12.3.26</t>
  </si>
  <si>
    <t>12.3.27</t>
  </si>
  <si>
    <t>12.3.28</t>
  </si>
  <si>
    <t>12.3.29</t>
  </si>
  <si>
    <t>12.3.30</t>
  </si>
  <si>
    <t>12.3.31</t>
  </si>
  <si>
    <t>12.3.32</t>
  </si>
  <si>
    <t>12.3.33</t>
  </si>
  <si>
    <t>12.3.34</t>
  </si>
  <si>
    <t>12.3.35</t>
  </si>
  <si>
    <t>12.3.36</t>
  </si>
  <si>
    <t>12.3.37</t>
  </si>
  <si>
    <t>12.3.39</t>
  </si>
  <si>
    <t>12.3.40</t>
  </si>
  <si>
    <t>12.3.41</t>
  </si>
  <si>
    <t>12.3.42</t>
  </si>
  <si>
    <t>12.3.43</t>
  </si>
  <si>
    <t>12.3.47</t>
  </si>
  <si>
    <t>12.3.48</t>
  </si>
  <si>
    <t>12.3.49</t>
  </si>
  <si>
    <t>12.3.50</t>
  </si>
  <si>
    <t>12.3.51</t>
  </si>
  <si>
    <t>12.3.52</t>
  </si>
  <si>
    <t>TUBO, PVC, SOLDÁVEL, DN 25 MM, INSTALADO EM RESERVAÇÃO DE ÁGUA DE EDIFICAÇÃO QUE POSSUA RESERVATÓRIO DE FIBRA/FIBROCIMENTO FORNECIMENTO E INSTALAÇÃO. AF_06/2016</t>
  </si>
  <si>
    <t>TUBO, PVC, SOLDÁVEL, DN 60 MM, INSTALADO EM RESERVAÇÃO DE ÁGUA DE EDIFICAÇÃO QUE POSSUA RESERVATÓRIO DE FIBRA/FIBROCIMENTO FORNECIMENTO E INSTALAÇÃO. AF_06/2016</t>
  </si>
  <si>
    <t>KIT CAVALETE PARA MEDIÇÃO DE ÁGUA - ENTRADA PRINCIPAL, EM PVC SOLDÁVEL DN 25 (¾") FORNECIMENTO E INSTALAÇÃO (EXCLUSIVE HIDRÔMETRO). AF_11/2016</t>
  </si>
  <si>
    <t>HIDRÔMETRO DN 25 (¾ ), 5,0 M³/H FORNECIMENTO E INSTALAÇÃO. AF_11/2016</t>
  </si>
  <si>
    <t>TORNEIRA DE BOIA, ROSCÁVEL, 3/4 , FORNECIDA E INSTALADA EM RESERVAÇÃO DE ÁGUA. AF_06/2016</t>
  </si>
  <si>
    <t>ADAPTADOR COM FLANGE E ANEL DE VEDAÇÃO, PVC, SOLDÁVEL, DN 25 MM X 3/4 , INSTALADO EM RESERVAÇÃO DE ÁGUA DE EDIFICAÇÃO QUE POSSUA RESERVATÓRIO DE FIBRA/FIBROCIMENTO FORNECIMENTO E INSTALAÇÃO. AF_06/2016</t>
  </si>
  <si>
    <t>JOELHO 90 GRAUS, PVC, SOLDÁVEL, DN 25MM, INSTALADO EM RAMAL DE DISTRIBUIÇÃO DE ÁGUA - FORNECIMENTO E INSTALAÇÃO. AF_12/2014</t>
  </si>
  <si>
    <t>JOELHO 90 GRAUS, PVC, SOLDÁVEL, DN 32MM, INSTALADO EM RAMAL DE DISTRIBUIÇÃO DE ÁGUA - FORNECIMENTO E INSTALAÇÃO. AF_12/2014</t>
  </si>
  <si>
    <t>ADAPTADOR CURTO COM BOLSA E ROSCA PARA REGISTRO, PVC, SOLDÁVEL, DN 75 MM X2 1/2 , INSTALADO EM RESERVAÇÃO DE ÁGUA DE EDIFICAÇÃO QUE POSSUA RESERVATÓRIO DE FIBRA/FIBROCIMENTO FORNECIMENTO E INSTALAÇÃO. AF_06/2016</t>
  </si>
  <si>
    <t>LUVA COM BUCHA DE LATÃO, PVC, SOLDÁVEL, DN 25MM X 3/4, INSTALADO EM RAMAL DE DISTRIBUIÇÃO DE ÁGUA - FORNECIMENTO E INSTALAÇÃO. AF_12/2014</t>
  </si>
  <si>
    <t>JOELHO 90 GRAUS, PVC, SOLDÁVEL, DN 75MM, INSTALADO EM PRUMADA DE ÁGUA - FORNECIMENTO E INSTALAÇÃO. AF_12/2014</t>
  </si>
  <si>
    <t>TE, PVC, SOLDÁVEL, DN 75MM, INSTALADO EM PRUMADA DE ÁGUA - FORNECIMENTO E INSTALAÇÃO. AF_12/2014</t>
  </si>
  <si>
    <t>TE, PVC, SOLDÁVEL, DN 60MM, INSTALADO EM PRUMADA DE ÁGUA - FORNECIMENTO E INSTALAÇÃO. AF_12/2014</t>
  </si>
  <si>
    <t>LUVA DE REDUÇÃO, PVC, SOLDÁVEL, DN 60MM X 50MM, INSTALADO EM PRUMADA DE ÁGUA - FORNECIMENTO E INSTALAÇÃO. AF_12/2014</t>
  </si>
  <si>
    <t>JOELHO 90 GRAUS, PVC, SOLDÁVEL, DN 60MM, INSTALADO EM PRUMADA DE ÁGUA - FORNECIMENTO E INSTALAÇÃO. AF_12/2014</t>
  </si>
  <si>
    <t>JOELHO 90 GRAUS, PVC, SOLDÁVEL, DN 50MM, INSTALADO EM PRUMADA DE ÁGUA - FORNECIMENTO E INSTALAÇÃO. AF_12/2014</t>
  </si>
  <si>
    <t>LUVA DE REDUÇÃO, PVC, SOLDÁVEL, DN 50MM X 25MM, INSTALADO EM PRUMADA DE ÁGUA FORNECIMENTO E INSTALAÇÃO. AF_12/2014</t>
  </si>
  <si>
    <t>TÊ DE REDUÇÃO, PVC, SOLDÁVEL, DN 50MM X 25MM, INSTALADO EM PRUMADA DE ÁGUA - FORNECIMENTO E INSTALAÇÃO. AF_12/2014</t>
  </si>
  <si>
    <t>TE DE REDUÇÃO, PVC, SOLDÁVEL, DN 75MM X 50MM, INSTALADO EM PRUMADA DE ÁGUA - FORNECIMENTO E INSTALAÇÃO. AF_12/2014</t>
  </si>
  <si>
    <t>JOELHO 90 GRAUS, PVC, SOLDÁVEL, DN 25MM, INSTALADO EM RAMAL OU SUB-RAMAL DE ÁGUA - FORNECIMENTO E INSTALAÇÃO. AF_12/2014</t>
  </si>
  <si>
    <t>JOELHO 90 GRAUS, PVC, SOLDÁVEL, DN 32MM, INSTALADO EM RAMAL OU SUB-RAMAL DE ÁGUA - FORNECIMENTO E INSTALAÇÃO. AF_12/2014</t>
  </si>
  <si>
    <t>JOELHO 45 GRAUS, PVC, SOLDÁVEL, DN 25MM, INSTALADO EM RAMAL OU SUB-RAMAL DE ÁGUA - FORNECIMENTO E INSTALAÇÃO. AF_12/2014</t>
  </si>
  <si>
    <t>JOELHO 90 GRAUS COM BUCHA DE LATÃO, PVC, SOLDÁVEL, DN 25MM, X 1/2 INSTALADO EM RAMAL OU SUB-RAMAL DE ÁGUA - FORNECIMENTO E INSTALAÇÃO. AF_12/2014</t>
  </si>
  <si>
    <t>TE, PVC, SOLDÁVEL, DN 25MM, INSTALADO EM RAMAL OU SUB-RAMAL DE ÁGUA -FORNECIMENTO E INSTALAÇÃO. AF_12/2014</t>
  </si>
  <si>
    <t>ADAPTADOR CURTO COM BOLSA E ROSCA PARA REGISTRO, PVC, SOLDÁVEL, DN 25M M X 3/4, INSTALADO EM RAMAL OU SUB-RAMAL DE ÁGUA - FORNECIMENTO E INSTALAÇÃO. AF_12/2014</t>
  </si>
  <si>
    <t>ADAPTADOR CURTO COM BOLSA E ROSCA PARA REGISTRO, PVC, SOLDÁVEL, DN 32M M X 1, INSTALADO EM RAMAL OU SUB-RAMAL DE ÁGUA - FORNECIMENTO E INSTALAÇÃO. AF_12/2014</t>
  </si>
  <si>
    <t>ADAPTADOR CURTO COM BOLSA E ROSCA PARA REGISTRO, PVC, SOLDÁVEL, DN 60M M X 2, INSTALADO EM PRUMADA DE ÁGUA - FORNECIMENTO E INSTALAÇÃO. AF_12/2014</t>
  </si>
  <si>
    <t>ADAPTADOR CURTO COM BOLSA E ROSCA PARA REGISTRO, PVC, SOLDÁVEL, DN 75M M X 2.1/2, INSTALADO EM PRUMADA DE ÁGUA - FORNECIMENTO E INSTALAÇÃO.AF_12/2014</t>
  </si>
  <si>
    <t>ADAPTADOR CURTO COM BOLSA E ROSCA PARA REGISTRO, PVC, SOLDÁVEL, DN 50M M X 1.1/2, INSTALADO EM PRUMADA DE ÁGUA - FORNECIMENTO E INSTALAÇÃO.AF_12/2014</t>
  </si>
  <si>
    <t>TÊ COM BUCHA DE LATÃO NA BOLSA CENTRAL, PVC, SOLDÁVEL, DN 25MM X 1/2,INSTALADO EM RAMAL OU SUB-RAMAL DE ÁGUA - FORNECIMENTO E INSTALAÇÃO.AF_12/2014</t>
  </si>
  <si>
    <t>TE, PVC, SOLDÁVEL, DN 32MM, INSTALADO EM RAMAL OU SUB-RAMAL DE ÁGUA -FORNECIMENTO E INSTALAÇÃO. AF_12/2014</t>
  </si>
  <si>
    <t>TÊ DE REDUÇÃO, PVC, SOLDÁVEL, DN 32MM X 25MM, INSTALADO EM RAMAL OU SUB-RAMAL DE ÁGUA - FORNECIMENTO E INSTALAÇÃO. AF_12/2014</t>
  </si>
  <si>
    <t>TUBO, PVC, SOLDÁVEL, DN 25MM, INSTALADO EM RAMAL DE DISTRIBUIÇÃO DE ÁGUA - FORNECIMENTO E INSTALAÇÃO. AF_12/2014</t>
  </si>
  <si>
    <t>TUBO, PVC, SOLDÁVEL, DN 50MM, INSTALADO EM PRUMADA DE ÁGUA - FORNECIMENTO E INSTALAÇÃO. AF_12/2014</t>
  </si>
  <si>
    <t>TUBO, PVC, SOLDÁVEL, DN 60MM, INSTALADO EM PRUMADA DE ÁGUA - FORNECIMENTO E INSTALAÇÃO. AF_12/2014</t>
  </si>
  <si>
    <t>REGISTRO DE PRESSÃO BRUTO, LATÃO, ROSCÁVEL, 3/4", COM ACABAMENTO E CANOPLA CROMADOS. FORNECIDO E INSTALADO EM RAMAL DE ÁGUA. AF_12/2014</t>
  </si>
  <si>
    <t>REGISTRO DE GAVETA BRUTO, LATÃO, ROSCÁVEL, 3/4", COM ACABAMENTO E CANOPLA CROMADOS. FORNECIDO E INSTALADO EM RAMAL DE ÁGUA. AF_12/2014</t>
  </si>
  <si>
    <t>REGISTRO DE GAVETA BRUTO, LATÃO, ROSCÁVEL, 1, COM ACABAMENTO E CANOPLA CROMADOS, INSTALADO EM RESERVAÇÃO DE ÁGUA DE EDIFICAÇÃO QUE POSSUA RESERVATÓRIO DE FIBRA/FIBROCIMENTO FORNECIMENTO E INSTALAÇÃO. AF_06/2016</t>
  </si>
  <si>
    <t>VÁLVULA DE DESCARGA METÁLICA, BASE 1 1/2 ", ACABAMENTO METALICO CROMADO - FORNECIMENTO E INSTALAÇÃO. AF_01/2019</t>
  </si>
  <si>
    <t>RASGO EM ALVENARIA PARA RAMAIS/ DISTRIBUIÇÃO COM DIAMETROS MENORES OU IGUAIS A 40 MM. AF_05/2015</t>
  </si>
  <si>
    <t>TE, PVC, SOLDÁVEL, DN 50MM, INSTALADO EM PRUMADA DE ÁGUA - FORNECIMENTO E INSTALAÇÃO. AF_12/2014</t>
  </si>
  <si>
    <t>94648</t>
  </si>
  <si>
    <t>94652</t>
  </si>
  <si>
    <t>95635</t>
  </si>
  <si>
    <t>95675</t>
  </si>
  <si>
    <t>94796</t>
  </si>
  <si>
    <t>94703</t>
  </si>
  <si>
    <t>94499</t>
  </si>
  <si>
    <t>89408</t>
  </si>
  <si>
    <t>89413</t>
  </si>
  <si>
    <t>94666</t>
  </si>
  <si>
    <t>89427</t>
  </si>
  <si>
    <t>89513</t>
  </si>
  <si>
    <t>89629</t>
  </si>
  <si>
    <t>89628</t>
  </si>
  <si>
    <t>89605</t>
  </si>
  <si>
    <t>89505</t>
  </si>
  <si>
    <t>89501</t>
  </si>
  <si>
    <t>89579</t>
  </si>
  <si>
    <t>89627</t>
  </si>
  <si>
    <t>89630</t>
  </si>
  <si>
    <t>89362</t>
  </si>
  <si>
    <t>89367</t>
  </si>
  <si>
    <t>89363</t>
  </si>
  <si>
    <t>90373</t>
  </si>
  <si>
    <t>89395</t>
  </si>
  <si>
    <t>89383</t>
  </si>
  <si>
    <t>89391</t>
  </si>
  <si>
    <t>89610</t>
  </si>
  <si>
    <t>89613</t>
  </si>
  <si>
    <t>89596</t>
  </si>
  <si>
    <t>89396</t>
  </si>
  <si>
    <t>89398</t>
  </si>
  <si>
    <t>89400</t>
  </si>
  <si>
    <t>89402</t>
  </si>
  <si>
    <t>89449</t>
  </si>
  <si>
    <t>89450</t>
  </si>
  <si>
    <t>89985</t>
  </si>
  <si>
    <t>89987</t>
  </si>
  <si>
    <t>94792</t>
  </si>
  <si>
    <t>99635</t>
  </si>
  <si>
    <t>91222</t>
  </si>
  <si>
    <t>90443</t>
  </si>
  <si>
    <t>90466</t>
  </si>
  <si>
    <t>90467</t>
  </si>
  <si>
    <t>89625</t>
  </si>
  <si>
    <t>12.4</t>
  </si>
  <si>
    <t>TUBO PVC, SÉRIE R, ÁGUA PLUVIAL, DN 100 MM, FORNECIDO E INSTALADO EM CONDUTORES VERTICAIS DE ÁGUAS PLUVIAIS. AF_12/2014</t>
  </si>
  <si>
    <t>JOELHO 90 GRAUS, PVC, SERIE R, ÁGUA PLUVIAL, DN 100 MM, JUNTA ELÁSTICA, FORNECIDO E INSTALADO EM RAMAL DE ENCAMINHAMENTO. AF_12/2014</t>
  </si>
  <si>
    <t>FIXAÇÃO DE TUBOS HORIZONTAIS DE PVC, CPVC OU COBRE DIÂMETROS MAIORES QUE 75 MM COM ABRAÇADEIRA METÁLICA RÍGIDA TIPO D 3" , FIXADA DIRETAMENTE NA LAJE. AF_05/2015</t>
  </si>
  <si>
    <t>89578</t>
  </si>
  <si>
    <t>89529</t>
  </si>
  <si>
    <t>91181</t>
  </si>
  <si>
    <t>12.4.4</t>
  </si>
  <si>
    <t>12.4.6</t>
  </si>
  <si>
    <t>12.4.11</t>
  </si>
  <si>
    <t>13.16</t>
  </si>
  <si>
    <t>13.21</t>
  </si>
  <si>
    <t>13.23</t>
  </si>
  <si>
    <t>13.27</t>
  </si>
  <si>
    <t>13.30</t>
  </si>
  <si>
    <t>13.31</t>
  </si>
  <si>
    <t>13.32</t>
  </si>
  <si>
    <t>13.33</t>
  </si>
  <si>
    <t>13.34</t>
  </si>
  <si>
    <t>13.35</t>
  </si>
  <si>
    <t>13.36</t>
  </si>
  <si>
    <t>13.37</t>
  </si>
  <si>
    <t>13.38</t>
  </si>
  <si>
    <t>13.42</t>
  </si>
  <si>
    <t>13.49</t>
  </si>
  <si>
    <t>13.50</t>
  </si>
  <si>
    <t>13.51</t>
  </si>
  <si>
    <t>13.52</t>
  </si>
  <si>
    <t>13.56</t>
  </si>
  <si>
    <t>13.57</t>
  </si>
  <si>
    <t>14.12</t>
  </si>
  <si>
    <t>14.13</t>
  </si>
  <si>
    <t>14.17</t>
  </si>
  <si>
    <t>14.21</t>
  </si>
  <si>
    <t>14.22</t>
  </si>
  <si>
    <t>14.24</t>
  </si>
  <si>
    <t>14.25</t>
  </si>
  <si>
    <t>14.26</t>
  </si>
  <si>
    <t>PLACA FOTOLUMINESCENTE "A5" - TRIÂNGULO 300 MM (RISCO DE INCÊNDIO)</t>
  </si>
  <si>
    <t>LUMINÁRIA DE EMERGÊNCIA AUTÔNOMA IE-16 COM LÂMPADA DE 8 W</t>
  </si>
  <si>
    <t>PLACA FOTOLUMINESCENTE "E5" - 300 X 300 MM</t>
  </si>
  <si>
    <t>PLACA FOTOLUMINESCENTE "S1" OU "S2" - 380 X 190 MM (SAÍDA - ESQUERDA)</t>
  </si>
  <si>
    <t>PLACA FOTOLUMINESCENTE "S1" OU "S2" - 380 X 190 MM (SAÍDA - DIREITA)</t>
  </si>
  <si>
    <t>OBRA: CONSTRUÇÃO DE ESCOLA NO BAIRRO NAÇÕES</t>
  </si>
  <si>
    <t>PRAZO DE OBRA: 7 MESES</t>
  </si>
  <si>
    <t>ENDEREÇO: RUA FRANÇA / RUA MÉXICO / AVENIDA RÚSSIA (SETOR 37, QUADRA 45)- BAIRRO NAÇÕES - PATROCÍNIO / MG</t>
  </si>
  <si>
    <t xml:space="preserve">BDI PARA EQUIPAMENTOS E MOBILIÁRIOS: ITENS </t>
  </si>
  <si>
    <t>BANHEIRO QUÍMICO 110 X 120 X 230 CM COM MANUTENÇÃO</t>
  </si>
  <si>
    <t>ED-50155</t>
  </si>
  <si>
    <t>ED-49937</t>
  </si>
  <si>
    <t>CAIXA DÁGUA DE POLIETILENO COM TAMPA 1500 L</t>
  </si>
  <si>
    <t>CABO DE COBRE FLEXÍVEL ISOLADO, 35 MM², ANTI-CHAMA 450/750 V, PARA DISTRIBUIÇÃO - FORNECIMENTO E INSTALAÇÃO. AF_12/2015</t>
  </si>
</sst>
</file>

<file path=xl/styles.xml><?xml version="1.0" encoding="utf-8"?>
<styleSheet xmlns="http://schemas.openxmlformats.org/spreadsheetml/2006/main">
  <numFmts count="15">
    <numFmt numFmtId="6" formatCode="&quot;R$&quot;\ #,##0;[Red]\-&quot;R$&quot;\ #,##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.0"/>
    <numFmt numFmtId="165" formatCode="_(* #,##0.00_);_(* \(#,##0.00\);_(* &quot;-&quot;??_);_(@_)"/>
    <numFmt numFmtId="166" formatCode="#,##0.000"/>
    <numFmt numFmtId="167" formatCode="0.000%"/>
    <numFmt numFmtId="169" formatCode="_([$€-2]* #,##0.00_);_([$€-2]* \(#,##0.00\);_([$€-2]* &quot;-&quot;??_)"/>
    <numFmt numFmtId="170" formatCode="&quot;R$&quot;#,##0_);[Red]\(&quot;R$&quot;#,##0\)"/>
    <numFmt numFmtId="171" formatCode="General_)"/>
    <numFmt numFmtId="172" formatCode="&quot;R$ &quot;#,##0.00"/>
    <numFmt numFmtId="173" formatCode="ddd"/>
    <numFmt numFmtId="174" formatCode="d/mm/yyyy"/>
    <numFmt numFmtId="175" formatCode="_(&quot;R$&quot;* #,##0.0000_);_(&quot;R$&quot;* \(#,##0.0000\);_(&quot;R$&quot;* &quot;-&quot;????_);_(@_)"/>
    <numFmt numFmtId="176" formatCode="_(* #,##0.0000_);_(* \(#,##0.0000\);_(* &quot;-&quot;??_);_(@_)"/>
  </numFmts>
  <fonts count="45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sz val="10"/>
      <color rgb="FF000000"/>
      <name val="Times New Roman"/>
      <family val="1"/>
    </font>
    <font>
      <b/>
      <sz val="10"/>
      <color rgb="FF000000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sz val="11"/>
      <color indexed="8"/>
      <name val="Calibri"/>
      <family val="2"/>
    </font>
    <font>
      <sz val="10"/>
      <color theme="1"/>
      <name val="Times New Roman"/>
      <family val="1"/>
    </font>
    <font>
      <sz val="1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  <scheme val="minor"/>
    </font>
    <font>
      <sz val="11"/>
      <color indexed="8"/>
      <name val="Arial"/>
      <family val="2"/>
    </font>
    <font>
      <b/>
      <sz val="12"/>
      <color rgb="FF000000"/>
      <name val="Times New Roman"/>
      <family val="1"/>
    </font>
    <font>
      <b/>
      <sz val="12"/>
      <name val="Times New Roman"/>
      <family val="1"/>
    </font>
    <font>
      <sz val="12"/>
      <color rgb="FF000000"/>
      <name val="Times New Roman"/>
      <family val="1"/>
    </font>
    <font>
      <sz val="12"/>
      <name val="Times New Roman"/>
      <family val="1"/>
    </font>
    <font>
      <b/>
      <sz val="9"/>
      <name val="Arial"/>
      <family val="2"/>
    </font>
    <font>
      <sz val="11"/>
      <name val="Times New Roman"/>
      <family val="1"/>
    </font>
    <font>
      <b/>
      <sz val="11"/>
      <color theme="0"/>
      <name val="Arial"/>
      <family val="2"/>
    </font>
    <font>
      <b/>
      <sz val="12"/>
      <color theme="0"/>
      <name val="Times New Roman"/>
      <family val="1"/>
    </font>
    <font>
      <b/>
      <sz val="13"/>
      <color theme="1" tint="0.24994659260841701"/>
      <name val="Cambria"/>
      <family val="2"/>
      <scheme val="major"/>
    </font>
    <font>
      <sz val="10"/>
      <name val="Courier"/>
      <family val="3"/>
    </font>
    <font>
      <sz val="12"/>
      <color theme="1"/>
      <name val="Calibri"/>
      <family val="2"/>
      <scheme val="minor"/>
    </font>
    <font>
      <b/>
      <sz val="13"/>
      <color theme="7"/>
      <name val="Cambria"/>
      <family val="2"/>
      <scheme val="major"/>
    </font>
    <font>
      <b/>
      <sz val="9.5"/>
      <color theme="1" tint="0.499984740745262"/>
      <name val="Calibri"/>
      <family val="2"/>
      <scheme val="minor"/>
    </font>
    <font>
      <b/>
      <sz val="18"/>
      <name val="Times New Roman"/>
      <family val="1"/>
    </font>
    <font>
      <sz val="10"/>
      <name val="Arial"/>
      <family val="2"/>
    </font>
    <font>
      <sz val="1"/>
      <color indexed="8"/>
      <name val="Courier"/>
      <family val="3"/>
    </font>
    <font>
      <b/>
      <sz val="20"/>
      <color theme="1"/>
      <name val="Times New Roman"/>
      <family val="1"/>
    </font>
    <font>
      <sz val="11"/>
      <color theme="1"/>
      <name val="Times New Roman"/>
      <family val="1"/>
    </font>
    <font>
      <b/>
      <sz val="16"/>
      <color theme="1"/>
      <name val="Times New Roman"/>
      <family val="1"/>
    </font>
    <font>
      <b/>
      <sz val="12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sz val="16"/>
      <name val="Times New Roman"/>
      <family val="1"/>
    </font>
    <font>
      <sz val="12"/>
      <color theme="1"/>
      <name val="Gulim"/>
      <family val="2"/>
    </font>
    <font>
      <sz val="12"/>
      <color indexed="12"/>
      <name val="Times New Roman"/>
      <family val="1"/>
    </font>
    <font>
      <b/>
      <sz val="11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theme="7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</borders>
  <cellStyleXfs count="86">
    <xf numFmtId="0" fontId="0" fillId="0" borderId="0"/>
    <xf numFmtId="0" fontId="6" fillId="0" borderId="0"/>
    <xf numFmtId="43" fontId="13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5" fillId="0" borderId="0"/>
    <xf numFmtId="0" fontId="16" fillId="0" borderId="0"/>
    <xf numFmtId="0" fontId="4" fillId="0" borderId="0"/>
    <xf numFmtId="165" fontId="13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4" fillId="0" borderId="0"/>
    <xf numFmtId="165" fontId="18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5" fillId="0" borderId="0"/>
    <xf numFmtId="0" fontId="15" fillId="0" borderId="0"/>
    <xf numFmtId="0" fontId="3" fillId="0" borderId="0"/>
    <xf numFmtId="9" fontId="10" fillId="0" borderId="0" applyFont="0" applyFill="0" applyBorder="0" applyAlignment="0" applyProtection="0"/>
    <xf numFmtId="0" fontId="2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27" fillId="0" borderId="0" applyFill="0" applyBorder="0" applyProtection="0">
      <alignment horizontal="left"/>
    </xf>
    <xf numFmtId="169" fontId="15" fillId="0" borderId="0" applyFont="0" applyFill="0" applyBorder="0" applyAlignment="0" applyProtection="0"/>
    <xf numFmtId="170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6" fontId="15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171" fontId="28" fillId="0" borderId="0"/>
    <xf numFmtId="0" fontId="29" fillId="0" borderId="0"/>
    <xf numFmtId="171" fontId="28" fillId="0" borderId="0"/>
    <xf numFmtId="0" fontId="1" fillId="0" borderId="0"/>
    <xf numFmtId="0" fontId="1" fillId="0" borderId="0"/>
    <xf numFmtId="0" fontId="1" fillId="0" borderId="0"/>
    <xf numFmtId="9" fontId="30" fillId="0" borderId="0" applyFill="0" applyBorder="0" applyProtection="0">
      <alignment horizontal="center" vertical="center"/>
    </xf>
    <xf numFmtId="3" fontId="31" fillId="0" borderId="37" applyFill="0" applyProtection="0">
      <alignment horizontal="center"/>
    </xf>
    <xf numFmtId="0" fontId="31" fillId="0" borderId="0" applyFill="0" applyBorder="0" applyProtection="0">
      <alignment horizontal="center"/>
    </xf>
    <xf numFmtId="43" fontId="1" fillId="0" borderId="0" applyFont="0" applyFill="0" applyBorder="0" applyAlignment="0" applyProtection="0"/>
    <xf numFmtId="165" fontId="15" fillId="0" borderId="0" applyFont="0" applyFill="0" applyBorder="0" applyAlignment="0" applyProtection="0"/>
    <xf numFmtId="165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170" fontId="29" fillId="0" borderId="0" applyFont="0" applyFill="0" applyBorder="0" applyAlignment="0" applyProtection="0"/>
    <xf numFmtId="170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5" fillId="0" borderId="0" applyFont="0" applyFill="0" applyBorder="0" applyAlignment="0" applyProtection="0"/>
    <xf numFmtId="0" fontId="33" fillId="0" borderId="0"/>
    <xf numFmtId="0" fontId="34" fillId="0" borderId="0">
      <protection locked="0"/>
    </xf>
    <xf numFmtId="172" fontId="33" fillId="0" borderId="0">
      <protection locked="0"/>
    </xf>
    <xf numFmtId="173" fontId="33" fillId="0" borderId="0">
      <protection locked="0"/>
    </xf>
    <xf numFmtId="174" fontId="33" fillId="0" borderId="0">
      <protection locked="0"/>
    </xf>
    <xf numFmtId="175" fontId="33" fillId="0" borderId="0">
      <protection locked="0"/>
    </xf>
    <xf numFmtId="175" fontId="33" fillId="0" borderId="0">
      <protection locked="0"/>
    </xf>
  </cellStyleXfs>
  <cellXfs count="290">
    <xf numFmtId="0" fontId="0" fillId="0" borderId="0" xfId="0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4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4" fontId="21" fillId="0" borderId="0" xfId="0" applyNumberFormat="1" applyFont="1" applyFill="1" applyBorder="1" applyAlignment="1">
      <alignment horizontal="left" vertical="center"/>
    </xf>
    <xf numFmtId="4" fontId="21" fillId="0" borderId="0" xfId="0" applyNumberFormat="1" applyFont="1" applyFill="1" applyBorder="1" applyAlignment="1">
      <alignment horizontal="center" vertical="center"/>
    </xf>
    <xf numFmtId="4" fontId="21" fillId="2" borderId="11" xfId="0" applyNumberFormat="1" applyFont="1" applyFill="1" applyBorder="1" applyAlignment="1">
      <alignment horizontal="center" vertical="center" wrapText="1"/>
    </xf>
    <xf numFmtId="4" fontId="21" fillId="0" borderId="11" xfId="0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Border="1" applyAlignment="1">
      <alignment horizontal="justify" vertical="center" wrapText="1"/>
    </xf>
    <xf numFmtId="4" fontId="22" fillId="0" borderId="0" xfId="12" applyNumberFormat="1" applyFont="1" applyFill="1" applyBorder="1" applyAlignment="1">
      <alignment horizontal="center" vertical="center" wrapText="1"/>
    </xf>
    <xf numFmtId="0" fontId="20" fillId="2" borderId="14" xfId="0" applyFont="1" applyFill="1" applyBorder="1" applyAlignment="1">
      <alignment horizontal="center" vertical="center" wrapText="1"/>
    </xf>
    <xf numFmtId="164" fontId="21" fillId="0" borderId="14" xfId="0" applyNumberFormat="1" applyFont="1" applyFill="1" applyBorder="1" applyAlignment="1">
      <alignment horizontal="center" vertical="center" shrinkToFit="1"/>
    </xf>
    <xf numFmtId="0" fontId="22" fillId="0" borderId="14" xfId="0" applyFont="1" applyFill="1" applyBorder="1" applyAlignment="1">
      <alignment horizontal="center" vertical="center" wrapText="1"/>
    </xf>
    <xf numFmtId="0" fontId="22" fillId="0" borderId="14" xfId="0" applyFont="1" applyFill="1" applyBorder="1" applyAlignment="1">
      <alignment horizontal="left" vertical="center" wrapText="1"/>
    </xf>
    <xf numFmtId="0" fontId="21" fillId="0" borderId="14" xfId="0" applyFont="1" applyFill="1" applyBorder="1" applyAlignment="1">
      <alignment horizontal="center" vertical="center" wrapText="1"/>
    </xf>
    <xf numFmtId="4" fontId="21" fillId="0" borderId="14" xfId="0" applyNumberFormat="1" applyFont="1" applyFill="1" applyBorder="1" applyAlignment="1">
      <alignment horizontal="center" vertical="center" wrapText="1"/>
    </xf>
    <xf numFmtId="4" fontId="19" fillId="0" borderId="14" xfId="0" applyNumberFormat="1" applyFont="1" applyFill="1" applyBorder="1" applyAlignment="1">
      <alignment horizontal="center" vertical="center" wrapText="1"/>
    </xf>
    <xf numFmtId="0" fontId="21" fillId="2" borderId="10" xfId="0" applyFont="1" applyFill="1" applyBorder="1" applyAlignment="1">
      <alignment horizontal="center" vertical="center" wrapText="1"/>
    </xf>
    <xf numFmtId="4" fontId="21" fillId="2" borderId="10" xfId="0" applyNumberFormat="1" applyFont="1" applyFill="1" applyBorder="1" applyAlignment="1">
      <alignment horizontal="left" vertical="center" wrapText="1"/>
    </xf>
    <xf numFmtId="4" fontId="21" fillId="2" borderId="10" xfId="0" applyNumberFormat="1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0" fontId="20" fillId="2" borderId="10" xfId="0" applyFont="1" applyFill="1" applyBorder="1" applyAlignment="1">
      <alignment horizontal="left" vertical="center" wrapText="1"/>
    </xf>
    <xf numFmtId="10" fontId="23" fillId="0" borderId="0" xfId="1" applyNumberFormat="1" applyFont="1" applyFill="1" applyBorder="1" applyAlignment="1">
      <alignment horizontal="center" vertical="center" wrapText="1"/>
    </xf>
    <xf numFmtId="4" fontId="24" fillId="0" borderId="0" xfId="0" applyNumberFormat="1" applyFont="1" applyFill="1" applyBorder="1" applyAlignment="1">
      <alignment horizontal="center" vertical="center" wrapText="1"/>
    </xf>
    <xf numFmtId="4" fontId="20" fillId="6" borderId="0" xfId="0" applyNumberFormat="1" applyFont="1" applyFill="1" applyBorder="1" applyAlignment="1">
      <alignment horizontal="center" vertical="center" wrapText="1"/>
    </xf>
    <xf numFmtId="4" fontId="21" fillId="3" borderId="11" xfId="0" applyNumberFormat="1" applyFont="1" applyFill="1" applyBorder="1" applyAlignment="1">
      <alignment horizontal="center" vertical="center" wrapText="1"/>
    </xf>
    <xf numFmtId="0" fontId="25" fillId="4" borderId="6" xfId="2" applyNumberFormat="1" applyFont="1" applyFill="1" applyBorder="1" applyAlignment="1">
      <alignment horizontal="center" vertical="center" wrapText="1"/>
    </xf>
    <xf numFmtId="0" fontId="25" fillId="4" borderId="7" xfId="2" applyNumberFormat="1" applyFont="1" applyFill="1" applyBorder="1" applyAlignment="1">
      <alignment horizontal="center" vertical="center" wrapText="1"/>
    </xf>
    <xf numFmtId="0" fontId="22" fillId="0" borderId="10" xfId="4" applyFont="1" applyFill="1" applyBorder="1" applyAlignment="1">
      <alignment horizontal="left" vertical="center" wrapText="1"/>
    </xf>
    <xf numFmtId="10" fontId="22" fillId="0" borderId="10" xfId="4" applyNumberFormat="1" applyFont="1" applyFill="1" applyBorder="1" applyAlignment="1">
      <alignment horizontal="center" vertical="center" wrapText="1"/>
    </xf>
    <xf numFmtId="4" fontId="22" fillId="0" borderId="11" xfId="0" applyNumberFormat="1" applyFont="1" applyFill="1" applyBorder="1" applyAlignment="1">
      <alignment horizontal="justify" vertical="center" wrapText="1"/>
    </xf>
    <xf numFmtId="0" fontId="22" fillId="0" borderId="12" xfId="4" applyFont="1" applyFill="1" applyBorder="1" applyAlignment="1">
      <alignment horizontal="left" vertical="center" wrapText="1"/>
    </xf>
    <xf numFmtId="0" fontId="22" fillId="0" borderId="15" xfId="4" applyFont="1" applyFill="1" applyBorder="1" applyAlignment="1">
      <alignment horizontal="left" vertical="center" wrapText="1"/>
    </xf>
    <xf numFmtId="0" fontId="22" fillId="0" borderId="13" xfId="4" applyFont="1" applyFill="1" applyBorder="1" applyAlignment="1">
      <alignment horizontal="left" vertical="center" wrapText="1"/>
    </xf>
    <xf numFmtId="164" fontId="19" fillId="0" borderId="9" xfId="0" applyNumberFormat="1" applyFont="1" applyFill="1" applyBorder="1" applyAlignment="1">
      <alignment horizontal="center" vertical="center" shrinkToFi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left" vertical="center" wrapText="1"/>
    </xf>
    <xf numFmtId="4" fontId="20" fillId="0" borderId="10" xfId="0" applyNumberFormat="1" applyFont="1" applyFill="1" applyBorder="1" applyAlignment="1">
      <alignment horizontal="right" vertical="center" wrapText="1"/>
    </xf>
    <xf numFmtId="4" fontId="19" fillId="0" borderId="10" xfId="0" applyNumberFormat="1" applyFont="1" applyFill="1" applyBorder="1" applyAlignment="1">
      <alignment horizontal="center" vertical="center" wrapText="1"/>
    </xf>
    <xf numFmtId="4" fontId="19" fillId="0" borderId="11" xfId="0" applyNumberFormat="1" applyFont="1" applyFill="1" applyBorder="1" applyAlignment="1">
      <alignment horizontal="left" vertical="center" wrapText="1"/>
    </xf>
    <xf numFmtId="0" fontId="22" fillId="0" borderId="9" xfId="0" applyFont="1" applyFill="1" applyBorder="1" applyAlignment="1">
      <alignment horizontal="center" vertical="center" wrapText="1"/>
    </xf>
    <xf numFmtId="164" fontId="21" fillId="0" borderId="9" xfId="0" applyNumberFormat="1" applyFont="1" applyFill="1" applyBorder="1" applyAlignment="1">
      <alignment horizontal="center" vertical="center" shrinkToFit="1"/>
    </xf>
    <xf numFmtId="0" fontId="22" fillId="0" borderId="10" xfId="0" applyFont="1" applyFill="1" applyBorder="1" applyAlignment="1">
      <alignment horizontal="center" vertical="center" wrapText="1"/>
    </xf>
    <xf numFmtId="0" fontId="20" fillId="3" borderId="9" xfId="0" applyFont="1" applyFill="1" applyBorder="1" applyAlignment="1">
      <alignment horizontal="center" vertical="center" wrapText="1"/>
    </xf>
    <xf numFmtId="0" fontId="20" fillId="3" borderId="10" xfId="0" applyFont="1" applyFill="1" applyBorder="1" applyAlignment="1">
      <alignment horizontal="center" vertical="center" wrapText="1"/>
    </xf>
    <xf numFmtId="4" fontId="20" fillId="3" borderId="10" xfId="0" applyNumberFormat="1" applyFont="1" applyFill="1" applyBorder="1" applyAlignment="1">
      <alignment horizontal="right" vertical="center" wrapText="1"/>
    </xf>
    <xf numFmtId="4" fontId="19" fillId="3" borderId="10" xfId="0" applyNumberFormat="1" applyFont="1" applyFill="1" applyBorder="1" applyAlignment="1">
      <alignment horizontal="center" vertical="center" wrapText="1"/>
    </xf>
    <xf numFmtId="4" fontId="19" fillId="3" borderId="10" xfId="0" applyNumberFormat="1" applyFont="1" applyFill="1" applyBorder="1" applyAlignment="1">
      <alignment horizontal="left" vertical="center" wrapText="1"/>
    </xf>
    <xf numFmtId="4" fontId="21" fillId="0" borderId="10" xfId="0" applyNumberFormat="1" applyFont="1" applyFill="1" applyBorder="1" applyAlignment="1">
      <alignment horizontal="center" vertical="center" wrapText="1"/>
    </xf>
    <xf numFmtId="4" fontId="21" fillId="3" borderId="10" xfId="0" applyNumberFormat="1" applyFont="1" applyFill="1" applyBorder="1" applyAlignment="1">
      <alignment horizontal="center" vertical="center" wrapText="1"/>
    </xf>
    <xf numFmtId="0" fontId="19" fillId="8" borderId="9" xfId="0" applyFont="1" applyFill="1" applyBorder="1" applyAlignment="1">
      <alignment vertical="center" wrapText="1"/>
    </xf>
    <xf numFmtId="0" fontId="19" fillId="8" borderId="10" xfId="0" applyFont="1" applyFill="1" applyBorder="1" applyAlignment="1">
      <alignment vertical="center" wrapText="1"/>
    </xf>
    <xf numFmtId="4" fontId="19" fillId="8" borderId="10" xfId="0" applyNumberFormat="1" applyFont="1" applyFill="1" applyBorder="1" applyAlignment="1">
      <alignment vertical="center" wrapText="1"/>
    </xf>
    <xf numFmtId="4" fontId="19" fillId="8" borderId="11" xfId="0" applyNumberFormat="1" applyFont="1" applyFill="1" applyBorder="1" applyAlignment="1">
      <alignment vertical="center" wrapText="1"/>
    </xf>
    <xf numFmtId="4" fontId="19" fillId="8" borderId="14" xfId="0" applyNumberFormat="1" applyFont="1" applyFill="1" applyBorder="1" applyAlignment="1">
      <alignment horizontal="center" vertical="center" wrapText="1"/>
    </xf>
    <xf numFmtId="4" fontId="20" fillId="0" borderId="11" xfId="0" applyNumberFormat="1" applyFont="1" applyFill="1" applyBorder="1" applyAlignment="1">
      <alignment horizontal="center" vertical="center" wrapText="1"/>
    </xf>
    <xf numFmtId="0" fontId="20" fillId="3" borderId="14" xfId="0" applyFont="1" applyFill="1" applyBorder="1" applyAlignment="1">
      <alignment horizontal="center" vertical="center" wrapText="1"/>
    </xf>
    <xf numFmtId="0" fontId="20" fillId="3" borderId="10" xfId="0" applyFont="1" applyFill="1" applyBorder="1" applyAlignment="1">
      <alignment horizontal="left" vertical="center" wrapText="1"/>
    </xf>
    <xf numFmtId="0" fontId="20" fillId="3" borderId="39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35" fillId="0" borderId="22" xfId="9" applyFont="1" applyBorder="1" applyAlignment="1">
      <alignment vertical="center"/>
    </xf>
    <xf numFmtId="0" fontId="35" fillId="0" borderId="7" xfId="9" applyFont="1" applyBorder="1" applyAlignment="1">
      <alignment vertical="center"/>
    </xf>
    <xf numFmtId="0" fontId="36" fillId="0" borderId="0" xfId="9" applyFont="1" applyAlignment="1">
      <alignment vertical="center"/>
    </xf>
    <xf numFmtId="0" fontId="38" fillId="0" borderId="24" xfId="9" applyFont="1" applyBorder="1" applyAlignment="1">
      <alignment horizontal="left" vertical="center"/>
    </xf>
    <xf numFmtId="0" fontId="38" fillId="0" borderId="2" xfId="9" applyFont="1" applyBorder="1" applyAlignment="1">
      <alignment horizontal="left" vertical="center"/>
    </xf>
    <xf numFmtId="0" fontId="7" fillId="2" borderId="26" xfId="13" applyFont="1" applyFill="1" applyBorder="1" applyAlignment="1">
      <alignment vertical="center"/>
    </xf>
    <xf numFmtId="0" fontId="7" fillId="2" borderId="14" xfId="13" applyFont="1" applyFill="1" applyBorder="1" applyAlignment="1">
      <alignment vertical="center"/>
    </xf>
    <xf numFmtId="0" fontId="36" fillId="0" borderId="17" xfId="9" applyFont="1" applyBorder="1" applyAlignment="1">
      <alignment horizontal="center" vertical="center"/>
    </xf>
    <xf numFmtId="44" fontId="36" fillId="0" borderId="13" xfId="9" applyNumberFormat="1" applyFont="1" applyBorder="1" applyAlignment="1">
      <alignment vertical="center"/>
    </xf>
    <xf numFmtId="10" fontId="36" fillId="0" borderId="13" xfId="9" applyNumberFormat="1" applyFont="1" applyBorder="1" applyAlignment="1">
      <alignment vertical="center"/>
    </xf>
    <xf numFmtId="44" fontId="36" fillId="0" borderId="18" xfId="9" applyNumberFormat="1" applyFont="1" applyBorder="1" applyAlignment="1">
      <alignment vertical="center"/>
    </xf>
    <xf numFmtId="10" fontId="36" fillId="0" borderId="8" xfId="9" applyNumberFormat="1" applyFont="1" applyBorder="1" applyAlignment="1">
      <alignment vertical="center"/>
    </xf>
    <xf numFmtId="44" fontId="36" fillId="0" borderId="14" xfId="9" applyNumberFormat="1" applyFont="1" applyBorder="1" applyAlignment="1">
      <alignment vertical="center"/>
    </xf>
    <xf numFmtId="0" fontId="36" fillId="0" borderId="26" xfId="9" applyFont="1" applyBorder="1" applyAlignment="1">
      <alignment horizontal="center" vertical="center"/>
    </xf>
    <xf numFmtId="10" fontId="36" fillId="0" borderId="14" xfId="9" applyNumberFormat="1" applyFont="1" applyBorder="1" applyAlignment="1">
      <alignment vertical="center"/>
    </xf>
    <xf numFmtId="44" fontId="36" fillId="0" borderId="25" xfId="9" applyNumberFormat="1" applyFont="1" applyBorder="1" applyAlignment="1">
      <alignment vertical="center"/>
    </xf>
    <xf numFmtId="10" fontId="36" fillId="0" borderId="11" xfId="9" applyNumberFormat="1" applyFont="1" applyBorder="1" applyAlignment="1">
      <alignment vertical="center"/>
    </xf>
    <xf numFmtId="44" fontId="36" fillId="0" borderId="11" xfId="9" applyNumberFormat="1" applyFont="1" applyBorder="1" applyAlignment="1">
      <alignment vertical="center"/>
    </xf>
    <xf numFmtId="10" fontId="39" fillId="2" borderId="14" xfId="9" applyNumberFormat="1" applyFont="1" applyFill="1" applyBorder="1" applyAlignment="1">
      <alignment vertical="center"/>
    </xf>
    <xf numFmtId="44" fontId="39" fillId="2" borderId="14" xfId="9" applyNumberFormat="1" applyFont="1" applyFill="1" applyBorder="1" applyAlignment="1">
      <alignment vertical="center"/>
    </xf>
    <xf numFmtId="0" fontId="39" fillId="0" borderId="0" xfId="9" applyFont="1" applyAlignment="1">
      <alignment vertical="center"/>
    </xf>
    <xf numFmtId="10" fontId="39" fillId="2" borderId="11" xfId="9" applyNumberFormat="1" applyFont="1" applyFill="1" applyBorder="1" applyAlignment="1">
      <alignment vertical="center"/>
    </xf>
    <xf numFmtId="167" fontId="36" fillId="0" borderId="0" xfId="9" applyNumberFormat="1" applyFont="1" applyAlignment="1">
      <alignment vertical="center"/>
    </xf>
    <xf numFmtId="10" fontId="39" fillId="2" borderId="36" xfId="9" applyNumberFormat="1" applyFont="1" applyFill="1" applyBorder="1" applyAlignment="1">
      <alignment vertical="center"/>
    </xf>
    <xf numFmtId="10" fontId="39" fillId="2" borderId="35" xfId="9" applyNumberFormat="1" applyFont="1" applyFill="1" applyBorder="1" applyAlignment="1">
      <alignment vertical="center"/>
    </xf>
    <xf numFmtId="44" fontId="39" fillId="2" borderId="36" xfId="9" applyNumberFormat="1" applyFont="1" applyFill="1" applyBorder="1" applyAlignment="1">
      <alignment vertical="center"/>
    </xf>
    <xf numFmtId="0" fontId="36" fillId="0" borderId="0" xfId="9" applyFont="1" applyAlignment="1">
      <alignment horizontal="center" vertical="center"/>
    </xf>
    <xf numFmtId="4" fontId="36" fillId="0" borderId="0" xfId="9" applyNumberFormat="1" applyFont="1" applyAlignment="1">
      <alignment vertical="center"/>
    </xf>
    <xf numFmtId="49" fontId="22" fillId="0" borderId="11" xfId="0" applyNumberFormat="1" applyFont="1" applyFill="1" applyBorder="1" applyAlignment="1">
      <alignment horizontal="center" vertical="center" wrapText="1"/>
    </xf>
    <xf numFmtId="4" fontId="22" fillId="0" borderId="11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center"/>
    </xf>
    <xf numFmtId="0" fontId="20" fillId="0" borderId="10" xfId="1" applyFont="1" applyFill="1" applyBorder="1" applyAlignment="1">
      <alignment horizontal="left" vertical="center" wrapText="1"/>
    </xf>
    <xf numFmtId="4" fontId="25" fillId="4" borderId="11" xfId="2" applyNumberFormat="1" applyFont="1" applyFill="1" applyBorder="1" applyAlignment="1">
      <alignment horizontal="center" vertical="center" wrapText="1"/>
    </xf>
    <xf numFmtId="4" fontId="25" fillId="4" borderId="7" xfId="2" applyNumberFormat="1" applyFont="1" applyFill="1" applyBorder="1" applyAlignment="1">
      <alignment horizontal="center" vertical="center" wrapText="1"/>
    </xf>
    <xf numFmtId="0" fontId="20" fillId="0" borderId="14" xfId="1" applyFont="1" applyFill="1" applyBorder="1" applyAlignment="1">
      <alignment horizontal="center" vertical="center" wrapText="1"/>
    </xf>
    <xf numFmtId="4" fontId="20" fillId="0" borderId="0" xfId="0" applyNumberFormat="1" applyFont="1" applyFill="1" applyBorder="1" applyAlignment="1">
      <alignment horizontal="center" vertical="center"/>
    </xf>
    <xf numFmtId="167" fontId="21" fillId="0" borderId="11" xfId="0" applyNumberFormat="1" applyFont="1" applyFill="1" applyBorder="1" applyAlignment="1">
      <alignment horizontal="center" vertical="center" wrapText="1"/>
    </xf>
    <xf numFmtId="167" fontId="19" fillId="0" borderId="11" xfId="0" applyNumberFormat="1" applyFont="1" applyFill="1" applyBorder="1" applyAlignment="1">
      <alignment horizontal="center" vertical="center" wrapText="1"/>
    </xf>
    <xf numFmtId="167" fontId="19" fillId="0" borderId="3" xfId="0" applyNumberFormat="1" applyFont="1" applyFill="1" applyBorder="1" applyAlignment="1">
      <alignment horizontal="center" vertical="center" wrapText="1"/>
    </xf>
    <xf numFmtId="4" fontId="22" fillId="0" borderId="11" xfId="12" applyNumberFormat="1" applyFont="1" applyFill="1" applyBorder="1" applyAlignment="1">
      <alignment horizontal="center" vertical="center" wrapText="1"/>
    </xf>
    <xf numFmtId="4" fontId="22" fillId="0" borderId="7" xfId="0" applyNumberFormat="1" applyFont="1" applyFill="1" applyBorder="1" applyAlignment="1">
      <alignment horizontal="justify" vertical="center" wrapText="1"/>
    </xf>
    <xf numFmtId="0" fontId="20" fillId="0" borderId="39" xfId="1" applyFont="1" applyFill="1" applyBorder="1" applyAlignment="1">
      <alignment horizontal="left" vertical="center" wrapText="1"/>
    </xf>
    <xf numFmtId="4" fontId="22" fillId="0" borderId="10" xfId="12" applyNumberFormat="1" applyFont="1" applyFill="1" applyBorder="1" applyAlignment="1">
      <alignment horizontal="center" vertical="center" wrapText="1"/>
    </xf>
    <xf numFmtId="0" fontId="22" fillId="0" borderId="39" xfId="0" applyFont="1" applyFill="1" applyBorder="1" applyAlignment="1">
      <alignment vertical="center" wrapText="1"/>
    </xf>
    <xf numFmtId="0" fontId="20" fillId="0" borderId="4" xfId="1" applyFont="1" applyFill="1" applyBorder="1" applyAlignment="1">
      <alignment vertical="center"/>
    </xf>
    <xf numFmtId="49" fontId="20" fillId="0" borderId="4" xfId="12" applyNumberFormat="1" applyFont="1" applyFill="1" applyBorder="1" applyAlignment="1">
      <alignment vertical="center"/>
    </xf>
    <xf numFmtId="0" fontId="0" fillId="0" borderId="0" xfId="0" applyFill="1" applyBorder="1" applyAlignment="1">
      <alignment vertical="top"/>
    </xf>
    <xf numFmtId="0" fontId="0" fillId="0" borderId="5" xfId="0" applyFill="1" applyBorder="1" applyAlignment="1">
      <alignment vertical="top"/>
    </xf>
    <xf numFmtId="0" fontId="26" fillId="7" borderId="39" xfId="1" applyFont="1" applyFill="1" applyBorder="1" applyAlignment="1">
      <alignment horizontal="right" vertical="center"/>
    </xf>
    <xf numFmtId="0" fontId="26" fillId="7" borderId="39" xfId="1" applyFont="1" applyFill="1" applyBorder="1" applyAlignment="1">
      <alignment vertical="center"/>
    </xf>
    <xf numFmtId="0" fontId="26" fillId="7" borderId="10" xfId="1" applyFont="1" applyFill="1" applyBorder="1" applyAlignment="1">
      <alignment vertical="center"/>
    </xf>
    <xf numFmtId="0" fontId="26" fillId="7" borderId="11" xfId="1" applyFont="1" applyFill="1" applyBorder="1" applyAlignment="1">
      <alignment vertical="center"/>
    </xf>
    <xf numFmtId="0" fontId="21" fillId="2" borderId="39" xfId="0" applyFont="1" applyFill="1" applyBorder="1" applyAlignment="1">
      <alignment horizontal="center" vertical="center" wrapText="1"/>
    </xf>
    <xf numFmtId="0" fontId="20" fillId="0" borderId="0" xfId="1" applyFont="1" applyFill="1" applyBorder="1" applyAlignment="1">
      <alignment horizontal="center" vertical="center"/>
    </xf>
    <xf numFmtId="10" fontId="20" fillId="5" borderId="14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 textRotation="90" wrapText="1"/>
    </xf>
    <xf numFmtId="164" fontId="19" fillId="0" borderId="1" xfId="0" applyNumberFormat="1" applyFont="1" applyFill="1" applyBorder="1" applyAlignment="1">
      <alignment horizontal="center" vertical="center" shrinkToFit="1"/>
    </xf>
    <xf numFmtId="0" fontId="20" fillId="0" borderId="2" xfId="0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horizontal="left" vertical="center" wrapText="1"/>
    </xf>
    <xf numFmtId="4" fontId="20" fillId="0" borderId="2" xfId="0" applyNumberFormat="1" applyFont="1" applyFill="1" applyBorder="1" applyAlignment="1">
      <alignment horizontal="right" vertical="center" wrapText="1"/>
    </xf>
    <xf numFmtId="4" fontId="19" fillId="0" borderId="2" xfId="0" applyNumberFormat="1" applyFont="1" applyFill="1" applyBorder="1" applyAlignment="1">
      <alignment horizontal="center" vertical="center" wrapText="1"/>
    </xf>
    <xf numFmtId="4" fontId="19" fillId="0" borderId="2" xfId="0" applyNumberFormat="1" applyFont="1" applyFill="1" applyBorder="1" applyAlignment="1">
      <alignment horizontal="left" vertical="center" wrapText="1"/>
    </xf>
    <xf numFmtId="0" fontId="21" fillId="0" borderId="6" xfId="0" applyFont="1" applyFill="1" applyBorder="1" applyAlignment="1">
      <alignment vertical="center" wrapText="1"/>
    </xf>
    <xf numFmtId="0" fontId="21" fillId="0" borderId="7" xfId="0" applyFont="1" applyFill="1" applyBorder="1" applyAlignment="1">
      <alignment vertical="center" wrapText="1"/>
    </xf>
    <xf numFmtId="4" fontId="21" fillId="0" borderId="7" xfId="0" applyNumberFormat="1" applyFont="1" applyFill="1" applyBorder="1" applyAlignment="1">
      <alignment vertical="center" wrapText="1"/>
    </xf>
    <xf numFmtId="4" fontId="21" fillId="0" borderId="8" xfId="0" applyNumberFormat="1" applyFont="1" applyFill="1" applyBorder="1" applyAlignment="1">
      <alignment vertical="center" wrapText="1"/>
    </xf>
    <xf numFmtId="164" fontId="19" fillId="0" borderId="6" xfId="0" applyNumberFormat="1" applyFont="1" applyFill="1" applyBorder="1" applyAlignment="1">
      <alignment horizontal="center" vertical="center" shrinkToFit="1"/>
    </xf>
    <xf numFmtId="0" fontId="20" fillId="0" borderId="7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left" vertical="center" wrapText="1"/>
    </xf>
    <xf numFmtId="4" fontId="20" fillId="0" borderId="7" xfId="0" applyNumberFormat="1" applyFont="1" applyFill="1" applyBorder="1" applyAlignment="1">
      <alignment horizontal="right" vertical="center" wrapText="1"/>
    </xf>
    <xf numFmtId="4" fontId="21" fillId="0" borderId="7" xfId="0" applyNumberFormat="1" applyFont="1" applyFill="1" applyBorder="1" applyAlignment="1">
      <alignment horizontal="center" vertical="center" wrapText="1"/>
    </xf>
    <xf numFmtId="4" fontId="19" fillId="0" borderId="7" xfId="0" applyNumberFormat="1" applyFont="1" applyFill="1" applyBorder="1" applyAlignment="1">
      <alignment horizontal="center" vertical="center" wrapText="1"/>
    </xf>
    <xf numFmtId="4" fontId="19" fillId="0" borderId="8" xfId="0" applyNumberFormat="1" applyFont="1" applyFill="1" applyBorder="1" applyAlignment="1">
      <alignment horizontal="center" vertical="center" wrapText="1"/>
    </xf>
    <xf numFmtId="4" fontId="19" fillId="0" borderId="7" xfId="0" applyNumberFormat="1" applyFont="1" applyFill="1" applyBorder="1" applyAlignment="1">
      <alignment horizontal="left" vertical="center" wrapText="1"/>
    </xf>
    <xf numFmtId="164" fontId="21" fillId="0" borderId="6" xfId="0" applyNumberFormat="1" applyFont="1" applyFill="1" applyBorder="1" applyAlignment="1">
      <alignment horizontal="center" vertical="center" shrinkToFit="1"/>
    </xf>
    <xf numFmtId="0" fontId="22" fillId="0" borderId="7" xfId="0" applyFont="1" applyFill="1" applyBorder="1" applyAlignment="1">
      <alignment horizontal="center" vertical="center" wrapText="1"/>
    </xf>
    <xf numFmtId="0" fontId="22" fillId="0" borderId="7" xfId="0" applyFont="1" applyFill="1" applyBorder="1" applyAlignment="1">
      <alignment horizontal="left" vertical="center" wrapText="1"/>
    </xf>
    <xf numFmtId="0" fontId="21" fillId="0" borderId="7" xfId="0" applyFont="1" applyFill="1" applyBorder="1" applyAlignment="1">
      <alignment horizontal="center" vertical="center" wrapText="1"/>
    </xf>
    <xf numFmtId="4" fontId="21" fillId="0" borderId="8" xfId="0" applyNumberFormat="1" applyFont="1" applyFill="1" applyBorder="1" applyAlignment="1">
      <alignment horizontal="center" vertical="center" wrapText="1"/>
    </xf>
    <xf numFmtId="10" fontId="19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4" fontId="20" fillId="6" borderId="14" xfId="0" applyNumberFormat="1" applyFont="1" applyFill="1" applyBorder="1" applyAlignment="1">
      <alignment horizontal="center" vertical="center" wrapText="1"/>
    </xf>
    <xf numFmtId="4" fontId="25" fillId="4" borderId="7" xfId="2" applyNumberFormat="1" applyFont="1" applyFill="1" applyBorder="1" applyAlignment="1">
      <alignment horizontal="center" vertical="center" wrapText="1"/>
    </xf>
    <xf numFmtId="0" fontId="20" fillId="0" borderId="10" xfId="1" applyFont="1" applyFill="1" applyBorder="1" applyAlignment="1">
      <alignment horizontal="left" vertical="center" wrapText="1"/>
    </xf>
    <xf numFmtId="4" fontId="22" fillId="0" borderId="14" xfId="0" applyNumberFormat="1" applyFont="1" applyFill="1" applyBorder="1" applyAlignment="1">
      <alignment horizontal="center" vertical="center" wrapText="1"/>
    </xf>
    <xf numFmtId="0" fontId="20" fillId="6" borderId="14" xfId="0" applyFont="1" applyFill="1" applyBorder="1" applyAlignment="1">
      <alignment horizontal="center" vertical="center" wrapText="1"/>
    </xf>
    <xf numFmtId="4" fontId="20" fillId="6" borderId="14" xfId="0" applyNumberFormat="1" applyFont="1" applyFill="1" applyBorder="1" applyAlignment="1">
      <alignment horizontal="center" vertical="center" wrapText="1"/>
    </xf>
    <xf numFmtId="10" fontId="19" fillId="8" borderId="14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Fill="1" applyBorder="1" applyAlignment="1">
      <alignment horizontal="center" vertical="center"/>
    </xf>
    <xf numFmtId="0" fontId="22" fillId="0" borderId="0" xfId="79" applyFont="1" applyAlignment="1">
      <alignment horizontal="center" vertical="center"/>
    </xf>
    <xf numFmtId="0" fontId="22" fillId="0" borderId="0" xfId="79" applyFont="1" applyAlignment="1">
      <alignment vertical="center"/>
    </xf>
    <xf numFmtId="0" fontId="20" fillId="0" borderId="0" xfId="79" applyFont="1" applyAlignment="1">
      <alignment horizontal="center" vertical="center"/>
    </xf>
    <xf numFmtId="0" fontId="20" fillId="0" borderId="0" xfId="79" applyFont="1" applyAlignment="1">
      <alignment vertical="center"/>
    </xf>
    <xf numFmtId="0" fontId="20" fillId="0" borderId="38" xfId="79" applyFont="1" applyFill="1" applyBorder="1" applyAlignment="1">
      <alignment horizontal="center" vertical="center" wrapText="1"/>
    </xf>
    <xf numFmtId="4" fontId="20" fillId="0" borderId="38" xfId="79" applyNumberFormat="1" applyFont="1" applyFill="1" applyBorder="1" applyAlignment="1">
      <alignment horizontal="center" vertical="center" wrapText="1"/>
    </xf>
    <xf numFmtId="0" fontId="22" fillId="0" borderId="38" xfId="79" applyFont="1" applyFill="1" applyBorder="1" applyAlignment="1">
      <alignment horizontal="center" vertical="center" wrapText="1"/>
    </xf>
    <xf numFmtId="0" fontId="22" fillId="0" borderId="38" xfId="79" applyFont="1" applyFill="1" applyBorder="1" applyAlignment="1">
      <alignment horizontal="left" vertical="center" wrapText="1"/>
    </xf>
    <xf numFmtId="165" fontId="22" fillId="0" borderId="38" xfId="48" applyFont="1" applyFill="1" applyBorder="1" applyAlignment="1">
      <alignment horizontal="center" vertical="center" wrapText="1"/>
    </xf>
    <xf numFmtId="165" fontId="22" fillId="9" borderId="38" xfId="48" applyFont="1" applyFill="1" applyBorder="1" applyAlignment="1">
      <alignment horizontal="center" vertical="center" wrapText="1"/>
    </xf>
    <xf numFmtId="0" fontId="22" fillId="0" borderId="0" xfId="79" applyFont="1" applyAlignment="1">
      <alignment horizontal="left" vertical="center"/>
    </xf>
    <xf numFmtId="0" fontId="22" fillId="0" borderId="0" xfId="79" applyNumberFormat="1" applyFont="1" applyAlignment="1">
      <alignment vertical="center"/>
    </xf>
    <xf numFmtId="4" fontId="22" fillId="0" borderId="0" xfId="79" applyNumberFormat="1" applyFont="1" applyAlignment="1">
      <alignment vertical="center"/>
    </xf>
    <xf numFmtId="0" fontId="43" fillId="0" borderId="0" xfId="79" applyFont="1" applyAlignment="1">
      <alignment vertical="center"/>
    </xf>
    <xf numFmtId="0" fontId="43" fillId="0" borderId="0" xfId="79" applyNumberFormat="1" applyFont="1" applyAlignment="1">
      <alignment vertical="center"/>
    </xf>
    <xf numFmtId="4" fontId="43" fillId="0" borderId="0" xfId="79" applyNumberFormat="1" applyFont="1" applyAlignment="1">
      <alignment vertical="center"/>
    </xf>
    <xf numFmtId="0" fontId="43" fillId="0" borderId="0" xfId="79" applyFont="1" applyAlignment="1">
      <alignment horizontal="left" vertical="center"/>
    </xf>
    <xf numFmtId="0" fontId="22" fillId="0" borderId="0" xfId="79" applyFont="1" applyAlignment="1">
      <alignment vertical="center" wrapText="1"/>
    </xf>
    <xf numFmtId="176" fontId="22" fillId="0" borderId="38" xfId="48" applyNumberFormat="1" applyFont="1" applyFill="1" applyBorder="1" applyAlignment="1">
      <alignment horizontal="center" vertical="center" wrapText="1"/>
    </xf>
    <xf numFmtId="0" fontId="22" fillId="0" borderId="40" xfId="79" applyFont="1" applyBorder="1" applyAlignment="1">
      <alignment horizontal="left" vertical="center"/>
    </xf>
    <xf numFmtId="0" fontId="22" fillId="0" borderId="0" xfId="79" applyFont="1" applyBorder="1" applyAlignment="1">
      <alignment vertical="center" wrapText="1"/>
    </xf>
    <xf numFmtId="0" fontId="22" fillId="0" borderId="0" xfId="79" applyFont="1" applyBorder="1" applyAlignment="1">
      <alignment vertical="center"/>
    </xf>
    <xf numFmtId="0" fontId="42" fillId="9" borderId="40" xfId="0" applyFont="1" applyFill="1" applyBorder="1" applyAlignment="1">
      <alignment horizontal="center" vertical="center"/>
    </xf>
    <xf numFmtId="0" fontId="42" fillId="9" borderId="0" xfId="0" applyFont="1" applyFill="1" applyBorder="1" applyAlignment="1">
      <alignment horizontal="center" vertical="center" wrapText="1"/>
    </xf>
    <xf numFmtId="0" fontId="42" fillId="9" borderId="0" xfId="0" applyFont="1" applyFill="1" applyBorder="1" applyAlignment="1">
      <alignment horizontal="center" vertical="center"/>
    </xf>
    <xf numFmtId="0" fontId="22" fillId="0" borderId="0" xfId="79" applyFont="1" applyBorder="1" applyAlignment="1">
      <alignment horizontal="left" vertical="center"/>
    </xf>
    <xf numFmtId="0" fontId="42" fillId="10" borderId="40" xfId="0" applyFont="1" applyFill="1" applyBorder="1" applyAlignment="1">
      <alignment horizontal="center" vertical="center"/>
    </xf>
    <xf numFmtId="0" fontId="42" fillId="10" borderId="0" xfId="0" applyFont="1" applyFill="1" applyBorder="1" applyAlignment="1">
      <alignment horizontal="center" vertical="center" wrapText="1"/>
    </xf>
    <xf numFmtId="0" fontId="20" fillId="7" borderId="0" xfId="1" applyFont="1" applyFill="1" applyBorder="1" applyAlignment="1">
      <alignment horizontal="center" vertical="center" wrapText="1"/>
    </xf>
    <xf numFmtId="0" fontId="12" fillId="7" borderId="0" xfId="4" applyFont="1" applyFill="1" applyBorder="1" applyAlignment="1">
      <alignment horizontal="center" vertical="center" wrapText="1"/>
    </xf>
    <xf numFmtId="4" fontId="44" fillId="4" borderId="0" xfId="2" applyNumberFormat="1" applyFont="1" applyFill="1" applyBorder="1" applyAlignment="1">
      <alignment horizontal="center" vertical="center" wrapText="1"/>
    </xf>
    <xf numFmtId="4" fontId="22" fillId="2" borderId="0" xfId="0" applyNumberFormat="1" applyFont="1" applyFill="1" applyBorder="1" applyAlignment="1">
      <alignment horizontal="center" vertical="center" wrapText="1"/>
    </xf>
    <xf numFmtId="0" fontId="22" fillId="0" borderId="11" xfId="0" applyNumberFormat="1" applyFont="1" applyFill="1" applyBorder="1" applyAlignment="1">
      <alignment horizontal="center" vertical="center" wrapText="1"/>
    </xf>
    <xf numFmtId="4" fontId="22" fillId="5" borderId="11" xfId="0" applyNumberFormat="1" applyFont="1" applyFill="1" applyBorder="1" applyAlignment="1">
      <alignment horizontal="center" vertical="center" wrapText="1"/>
    </xf>
    <xf numFmtId="4" fontId="22" fillId="0" borderId="11" xfId="0" applyNumberFormat="1" applyFont="1" applyFill="1" applyBorder="1" applyAlignment="1">
      <alignment vertical="center" wrapText="1"/>
    </xf>
    <xf numFmtId="4" fontId="22" fillId="2" borderId="11" xfId="0" applyNumberFormat="1" applyFont="1" applyFill="1" applyBorder="1" applyAlignment="1">
      <alignment horizontal="center" vertical="center" wrapText="1"/>
    </xf>
    <xf numFmtId="4" fontId="22" fillId="3" borderId="11" xfId="0" applyNumberFormat="1" applyFont="1" applyFill="1" applyBorder="1" applyAlignment="1">
      <alignment horizontal="center" vertical="center" wrapText="1"/>
    </xf>
    <xf numFmtId="166" fontId="36" fillId="0" borderId="0" xfId="9" applyNumberFormat="1" applyFont="1" applyAlignment="1">
      <alignment vertical="center"/>
    </xf>
    <xf numFmtId="4" fontId="22" fillId="0" borderId="0" xfId="0" applyNumberFormat="1" applyFont="1" applyFill="1" applyBorder="1" applyAlignment="1">
      <alignment horizontal="center" vertical="center"/>
    </xf>
    <xf numFmtId="10" fontId="22" fillId="5" borderId="12" xfId="4" applyNumberFormat="1" applyFont="1" applyFill="1" applyBorder="1" applyAlignment="1">
      <alignment horizontal="center" vertical="center"/>
    </xf>
    <xf numFmtId="10" fontId="22" fillId="5" borderId="15" xfId="4" applyNumberFormat="1" applyFont="1" applyFill="1" applyBorder="1" applyAlignment="1">
      <alignment horizontal="center" vertical="center" wrapText="1"/>
    </xf>
    <xf numFmtId="10" fontId="22" fillId="5" borderId="13" xfId="4" applyNumberFormat="1" applyFont="1" applyFill="1" applyBorder="1" applyAlignment="1">
      <alignment horizontal="center" vertical="center" wrapText="1"/>
    </xf>
    <xf numFmtId="0" fontId="20" fillId="6" borderId="1" xfId="0" applyFont="1" applyFill="1" applyBorder="1" applyAlignment="1">
      <alignment vertical="center" wrapText="1"/>
    </xf>
    <xf numFmtId="0" fontId="20" fillId="6" borderId="3" xfId="0" applyFont="1" applyFill="1" applyBorder="1" applyAlignment="1">
      <alignment vertical="center" wrapText="1"/>
    </xf>
    <xf numFmtId="10" fontId="22" fillId="0" borderId="12" xfId="4" applyNumberFormat="1" applyFont="1" applyFill="1" applyBorder="1" applyAlignment="1">
      <alignment horizontal="center" vertical="center"/>
    </xf>
    <xf numFmtId="10" fontId="22" fillId="0" borderId="15" xfId="4" applyNumberFormat="1" applyFont="1" applyFill="1" applyBorder="1" applyAlignment="1">
      <alignment horizontal="center" vertical="center" wrapText="1"/>
    </xf>
    <xf numFmtId="10" fontId="22" fillId="0" borderId="13" xfId="4" applyNumberFormat="1" applyFont="1" applyFill="1" applyBorder="1" applyAlignment="1">
      <alignment horizontal="center" vertical="center" wrapText="1"/>
    </xf>
    <xf numFmtId="44" fontId="36" fillId="0" borderId="14" xfId="9" applyNumberFormat="1" applyFont="1" applyFill="1" applyBorder="1" applyAlignment="1">
      <alignment vertical="center"/>
    </xf>
    <xf numFmtId="44" fontId="36" fillId="0" borderId="11" xfId="9" applyNumberFormat="1" applyFont="1" applyFill="1" applyBorder="1" applyAlignment="1">
      <alignment vertical="center"/>
    </xf>
    <xf numFmtId="0" fontId="20" fillId="6" borderId="1" xfId="0" applyFont="1" applyFill="1" applyBorder="1" applyAlignment="1">
      <alignment horizontal="center" vertical="center" wrapText="1"/>
    </xf>
    <xf numFmtId="0" fontId="20" fillId="6" borderId="3" xfId="0" applyFont="1" applyFill="1" applyBorder="1" applyAlignment="1">
      <alignment horizontal="center" vertical="center" wrapText="1"/>
    </xf>
    <xf numFmtId="0" fontId="20" fillId="6" borderId="6" xfId="0" applyFont="1" applyFill="1" applyBorder="1" applyAlignment="1">
      <alignment horizontal="center" vertical="center" wrapText="1"/>
    </xf>
    <xf numFmtId="0" fontId="20" fillId="6" borderId="8" xfId="0" applyFont="1" applyFill="1" applyBorder="1" applyAlignment="1">
      <alignment horizontal="center" vertical="center" wrapText="1"/>
    </xf>
    <xf numFmtId="4" fontId="22" fillId="0" borderId="4" xfId="0" applyNumberFormat="1" applyFont="1" applyFill="1" applyBorder="1" applyAlignment="1">
      <alignment horizontal="left" vertical="center" wrapText="1"/>
    </xf>
    <xf numFmtId="4" fontId="22" fillId="0" borderId="0" xfId="0" applyNumberFormat="1" applyFont="1" applyFill="1" applyBorder="1" applyAlignment="1">
      <alignment horizontal="left" vertical="center" wrapText="1"/>
    </xf>
    <xf numFmtId="4" fontId="22" fillId="0" borderId="5" xfId="0" applyNumberFormat="1" applyFont="1" applyFill="1" applyBorder="1" applyAlignment="1">
      <alignment horizontal="left" vertical="center" wrapText="1"/>
    </xf>
    <xf numFmtId="4" fontId="22" fillId="0" borderId="6" xfId="0" applyNumberFormat="1" applyFont="1" applyFill="1" applyBorder="1" applyAlignment="1">
      <alignment horizontal="left" vertical="center" wrapText="1"/>
    </xf>
    <xf numFmtId="4" fontId="22" fillId="0" borderId="7" xfId="0" applyNumberFormat="1" applyFont="1" applyFill="1" applyBorder="1" applyAlignment="1">
      <alignment horizontal="left" vertical="center" wrapText="1"/>
    </xf>
    <xf numFmtId="4" fontId="22" fillId="0" borderId="8" xfId="0" applyNumberFormat="1" applyFont="1" applyFill="1" applyBorder="1" applyAlignment="1">
      <alignment horizontal="left" vertical="center" wrapText="1"/>
    </xf>
    <xf numFmtId="0" fontId="22" fillId="0" borderId="15" xfId="0" applyFont="1" applyFill="1" applyBorder="1" applyAlignment="1">
      <alignment horizontal="left" vertical="center" wrapText="1"/>
    </xf>
    <xf numFmtId="0" fontId="21" fillId="0" borderId="15" xfId="0" applyFont="1" applyFill="1" applyBorder="1" applyAlignment="1">
      <alignment horizontal="left" vertical="center" wrapText="1"/>
    </xf>
    <xf numFmtId="0" fontId="22" fillId="0" borderId="13" xfId="0" applyFont="1" applyFill="1" applyBorder="1" applyAlignment="1">
      <alignment horizontal="left" vertical="center" wrapText="1"/>
    </xf>
    <xf numFmtId="0" fontId="21" fillId="0" borderId="13" xfId="0" applyFont="1" applyFill="1" applyBorder="1" applyAlignment="1">
      <alignment horizontal="left" vertical="center" wrapText="1"/>
    </xf>
    <xf numFmtId="10" fontId="11" fillId="0" borderId="39" xfId="1" applyNumberFormat="1" applyFont="1" applyFill="1" applyBorder="1" applyAlignment="1">
      <alignment horizontal="center" vertical="center" wrapText="1"/>
    </xf>
    <xf numFmtId="10" fontId="11" fillId="0" borderId="10" xfId="1" applyNumberFormat="1" applyFont="1" applyFill="1" applyBorder="1" applyAlignment="1">
      <alignment horizontal="center" vertical="center" wrapText="1"/>
    </xf>
    <xf numFmtId="10" fontId="11" fillId="0" borderId="11" xfId="1" applyNumberFormat="1" applyFont="1" applyFill="1" applyBorder="1" applyAlignment="1">
      <alignment horizontal="center" vertical="center" wrapText="1"/>
    </xf>
    <xf numFmtId="0" fontId="20" fillId="0" borderId="14" xfId="1" applyFont="1" applyFill="1" applyBorder="1" applyAlignment="1">
      <alignment horizontal="center" vertical="center" wrapText="1"/>
    </xf>
    <xf numFmtId="0" fontId="26" fillId="7" borderId="39" xfId="4" applyFont="1" applyFill="1" applyBorder="1" applyAlignment="1">
      <alignment horizontal="center" vertical="center"/>
    </xf>
    <xf numFmtId="0" fontId="26" fillId="7" borderId="10" xfId="4" applyFont="1" applyFill="1" applyBorder="1" applyAlignment="1">
      <alignment horizontal="center" vertical="center"/>
    </xf>
    <xf numFmtId="0" fontId="26" fillId="7" borderId="11" xfId="4" applyFont="1" applyFill="1" applyBorder="1" applyAlignment="1">
      <alignment horizontal="center" vertical="center"/>
    </xf>
    <xf numFmtId="4" fontId="20" fillId="0" borderId="1" xfId="12" applyNumberFormat="1" applyFont="1" applyFill="1" applyBorder="1" applyAlignment="1">
      <alignment horizontal="center" vertical="center" wrapText="1"/>
    </xf>
    <xf numFmtId="4" fontId="20" fillId="0" borderId="2" xfId="12" applyNumberFormat="1" applyFont="1" applyFill="1" applyBorder="1" applyAlignment="1">
      <alignment horizontal="center" vertical="center" wrapText="1"/>
    </xf>
    <xf numFmtId="4" fontId="20" fillId="0" borderId="3" xfId="12" applyNumberFormat="1" applyFont="1" applyFill="1" applyBorder="1" applyAlignment="1">
      <alignment horizontal="center" vertical="center" wrapText="1"/>
    </xf>
    <xf numFmtId="4" fontId="20" fillId="0" borderId="4" xfId="12" applyNumberFormat="1" applyFont="1" applyFill="1" applyBorder="1" applyAlignment="1">
      <alignment horizontal="center" vertical="center" wrapText="1"/>
    </xf>
    <xf numFmtId="4" fontId="20" fillId="0" borderId="0" xfId="12" applyNumberFormat="1" applyFont="1" applyFill="1" applyBorder="1" applyAlignment="1">
      <alignment horizontal="center" vertical="center" wrapText="1"/>
    </xf>
    <xf numFmtId="4" fontId="20" fillId="0" borderId="5" xfId="12" applyNumberFormat="1" applyFont="1" applyFill="1" applyBorder="1" applyAlignment="1">
      <alignment horizontal="center" vertical="center" wrapText="1"/>
    </xf>
    <xf numFmtId="4" fontId="20" fillId="0" borderId="6" xfId="12" applyNumberFormat="1" applyFont="1" applyFill="1" applyBorder="1" applyAlignment="1">
      <alignment horizontal="center" vertical="center" wrapText="1"/>
    </xf>
    <xf numFmtId="4" fontId="20" fillId="0" borderId="7" xfId="12" applyNumberFormat="1" applyFont="1" applyFill="1" applyBorder="1" applyAlignment="1">
      <alignment horizontal="center" vertical="center" wrapText="1"/>
    </xf>
    <xf numFmtId="4" fontId="20" fillId="0" borderId="8" xfId="12" applyNumberFormat="1" applyFont="1" applyFill="1" applyBorder="1" applyAlignment="1">
      <alignment horizontal="center" vertical="center" wrapText="1"/>
    </xf>
    <xf numFmtId="0" fontId="32" fillId="0" borderId="1" xfId="1" applyFont="1" applyFill="1" applyBorder="1" applyAlignment="1">
      <alignment horizontal="center" vertical="center"/>
    </xf>
    <xf numFmtId="0" fontId="32" fillId="0" borderId="2" xfId="1" applyFont="1" applyFill="1" applyBorder="1" applyAlignment="1">
      <alignment horizontal="center" vertical="center"/>
    </xf>
    <xf numFmtId="0" fontId="32" fillId="0" borderId="3" xfId="1" applyFont="1" applyFill="1" applyBorder="1" applyAlignment="1">
      <alignment horizontal="center" vertical="center"/>
    </xf>
    <xf numFmtId="49" fontId="11" fillId="0" borderId="6" xfId="12" applyNumberFormat="1" applyFont="1" applyFill="1" applyBorder="1" applyAlignment="1">
      <alignment horizontal="center" vertical="center" wrapText="1"/>
    </xf>
    <xf numFmtId="49" fontId="11" fillId="0" borderId="7" xfId="12" applyNumberFormat="1" applyFont="1" applyFill="1" applyBorder="1" applyAlignment="1">
      <alignment horizontal="center" vertical="center" wrapText="1"/>
    </xf>
    <xf numFmtId="49" fontId="11" fillId="0" borderId="8" xfId="12" applyNumberFormat="1" applyFont="1" applyFill="1" applyBorder="1" applyAlignment="1">
      <alignment horizontal="center" vertical="center" wrapText="1"/>
    </xf>
    <xf numFmtId="0" fontId="20" fillId="0" borderId="39" xfId="1" applyFont="1" applyFill="1" applyBorder="1" applyAlignment="1">
      <alignment horizontal="left" vertical="center" wrapText="1"/>
    </xf>
    <xf numFmtId="0" fontId="20" fillId="0" borderId="10" xfId="1" applyFont="1" applyFill="1" applyBorder="1" applyAlignment="1">
      <alignment horizontal="left" vertical="center" wrapText="1"/>
    </xf>
    <xf numFmtId="0" fontId="20" fillId="0" borderId="11" xfId="1" applyFont="1" applyFill="1" applyBorder="1" applyAlignment="1">
      <alignment horizontal="left" vertical="center" wrapText="1"/>
    </xf>
    <xf numFmtId="0" fontId="20" fillId="6" borderId="39" xfId="0" applyFont="1" applyFill="1" applyBorder="1" applyAlignment="1">
      <alignment horizontal="center" vertical="center" wrapText="1"/>
    </xf>
    <xf numFmtId="0" fontId="20" fillId="6" borderId="10" xfId="0" applyFont="1" applyFill="1" applyBorder="1" applyAlignment="1">
      <alignment horizontal="center" vertical="center" wrapText="1"/>
    </xf>
    <xf numFmtId="0" fontId="20" fillId="6" borderId="11" xfId="0" applyFont="1" applyFill="1" applyBorder="1" applyAlignment="1">
      <alignment horizontal="center" vertical="center" wrapText="1"/>
    </xf>
    <xf numFmtId="4" fontId="44" fillId="4" borderId="0" xfId="2" applyNumberFormat="1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left" vertical="center" wrapText="1"/>
    </xf>
    <xf numFmtId="4" fontId="22" fillId="0" borderId="1" xfId="0" applyNumberFormat="1" applyFont="1" applyFill="1" applyBorder="1" applyAlignment="1">
      <alignment horizontal="center" vertical="center" wrapText="1"/>
    </xf>
    <xf numFmtId="4" fontId="22" fillId="0" borderId="2" xfId="0" applyNumberFormat="1" applyFont="1" applyFill="1" applyBorder="1" applyAlignment="1">
      <alignment horizontal="center" vertical="center" wrapText="1"/>
    </xf>
    <xf numFmtId="4" fontId="22" fillId="0" borderId="3" xfId="0" applyNumberFormat="1" applyFont="1" applyFill="1" applyBorder="1" applyAlignment="1">
      <alignment horizontal="center" vertical="center" wrapText="1"/>
    </xf>
    <xf numFmtId="4" fontId="22" fillId="0" borderId="4" xfId="0" applyNumberFormat="1" applyFont="1" applyFill="1" applyBorder="1" applyAlignment="1">
      <alignment horizontal="center" vertical="center" wrapText="1"/>
    </xf>
    <xf numFmtId="4" fontId="22" fillId="0" borderId="0" xfId="0" applyNumberFormat="1" applyFont="1" applyFill="1" applyBorder="1" applyAlignment="1">
      <alignment horizontal="center" vertical="center" wrapText="1"/>
    </xf>
    <xf numFmtId="4" fontId="22" fillId="0" borderId="5" xfId="0" applyNumberFormat="1" applyFont="1" applyFill="1" applyBorder="1" applyAlignment="1">
      <alignment horizontal="center" vertical="center" wrapText="1"/>
    </xf>
    <xf numFmtId="10" fontId="39" fillId="2" borderId="12" xfId="9" applyNumberFormat="1" applyFont="1" applyFill="1" applyBorder="1" applyAlignment="1">
      <alignment horizontal="center" vertical="center"/>
    </xf>
    <xf numFmtId="10" fontId="39" fillId="2" borderId="13" xfId="9" applyNumberFormat="1" applyFont="1" applyFill="1" applyBorder="1" applyAlignment="1">
      <alignment horizontal="center" vertical="center"/>
    </xf>
    <xf numFmtId="44" fontId="39" fillId="2" borderId="16" xfId="9" applyNumberFormat="1" applyFont="1" applyFill="1" applyBorder="1" applyAlignment="1">
      <alignment horizontal="center" vertical="center"/>
    </xf>
    <xf numFmtId="44" fontId="39" fillId="2" borderId="18" xfId="9" applyNumberFormat="1" applyFont="1" applyFill="1" applyBorder="1" applyAlignment="1">
      <alignment horizontal="center" vertical="center"/>
    </xf>
    <xf numFmtId="0" fontId="7" fillId="2" borderId="32" xfId="13" applyFont="1" applyFill="1" applyBorder="1" applyAlignment="1">
      <alignment horizontal="center" vertical="center"/>
    </xf>
    <xf numFmtId="0" fontId="38" fillId="0" borderId="23" xfId="9" applyFont="1" applyBorder="1" applyAlignment="1">
      <alignment horizontal="left" vertical="center"/>
    </xf>
    <xf numFmtId="0" fontId="38" fillId="0" borderId="10" xfId="9" applyFont="1" applyBorder="1" applyAlignment="1">
      <alignment horizontal="left" vertical="center"/>
    </xf>
    <xf numFmtId="0" fontId="7" fillId="2" borderId="27" xfId="13" applyFont="1" applyFill="1" applyBorder="1" applyAlignment="1">
      <alignment horizontal="center" vertical="center"/>
    </xf>
    <xf numFmtId="0" fontId="7" fillId="2" borderId="30" xfId="13" applyFont="1" applyFill="1" applyBorder="1" applyAlignment="1">
      <alignment horizontal="center" vertical="center"/>
    </xf>
    <xf numFmtId="0" fontId="7" fillId="2" borderId="28" xfId="13" applyFont="1" applyFill="1" applyBorder="1" applyAlignment="1">
      <alignment horizontal="center" vertical="center"/>
    </xf>
    <xf numFmtId="0" fontId="7" fillId="2" borderId="31" xfId="13" applyFont="1" applyFill="1" applyBorder="1" applyAlignment="1">
      <alignment horizontal="center" vertical="center"/>
    </xf>
    <xf numFmtId="0" fontId="7" fillId="2" borderId="29" xfId="13" applyFont="1" applyFill="1" applyBorder="1" applyAlignment="1">
      <alignment horizontal="center" vertical="center"/>
    </xf>
    <xf numFmtId="0" fontId="7" fillId="2" borderId="11" xfId="13" applyFont="1" applyFill="1" applyBorder="1" applyAlignment="1">
      <alignment horizontal="center" vertical="center"/>
    </xf>
    <xf numFmtId="0" fontId="7" fillId="2" borderId="14" xfId="13" applyFont="1" applyFill="1" applyBorder="1" applyAlignment="1">
      <alignment horizontal="center" vertical="center"/>
    </xf>
    <xf numFmtId="0" fontId="35" fillId="0" borderId="19" xfId="9" applyFont="1" applyBorder="1" applyAlignment="1">
      <alignment horizontal="center" vertical="center"/>
    </xf>
    <xf numFmtId="0" fontId="35" fillId="0" borderId="20" xfId="9" applyFont="1" applyBorder="1" applyAlignment="1">
      <alignment horizontal="center" vertical="center"/>
    </xf>
    <xf numFmtId="0" fontId="35" fillId="0" borderId="21" xfId="9" applyFont="1" applyBorder="1" applyAlignment="1">
      <alignment horizontal="center" vertical="center"/>
    </xf>
    <xf numFmtId="0" fontId="35" fillId="0" borderId="0" xfId="9" applyFont="1" applyBorder="1" applyAlignment="1">
      <alignment horizontal="center" vertical="center"/>
    </xf>
    <xf numFmtId="0" fontId="40" fillId="0" borderId="21" xfId="9" applyFont="1" applyBorder="1" applyAlignment="1">
      <alignment horizontal="center" vertical="center"/>
    </xf>
    <xf numFmtId="0" fontId="40" fillId="0" borderId="0" xfId="9" applyFont="1" applyBorder="1" applyAlignment="1">
      <alignment horizontal="center" vertical="center"/>
    </xf>
    <xf numFmtId="0" fontId="37" fillId="0" borderId="21" xfId="9" applyFont="1" applyBorder="1" applyAlignment="1">
      <alignment horizontal="center" vertical="center"/>
    </xf>
    <xf numFmtId="0" fontId="37" fillId="0" borderId="0" xfId="9" applyFont="1" applyBorder="1" applyAlignment="1">
      <alignment horizontal="center" vertical="center"/>
    </xf>
    <xf numFmtId="0" fontId="7" fillId="2" borderId="23" xfId="13" applyFont="1" applyFill="1" applyBorder="1" applyAlignment="1">
      <alignment horizontal="center" vertical="center"/>
    </xf>
    <xf numFmtId="0" fontId="7" fillId="2" borderId="33" xfId="13" applyFont="1" applyFill="1" applyBorder="1" applyAlignment="1">
      <alignment horizontal="center" vertical="center"/>
    </xf>
    <xf numFmtId="0" fontId="7" fillId="2" borderId="35" xfId="13" applyFont="1" applyFill="1" applyBorder="1" applyAlignment="1">
      <alignment horizontal="center" vertical="center"/>
    </xf>
    <xf numFmtId="0" fontId="7" fillId="2" borderId="34" xfId="13" applyFont="1" applyFill="1" applyBorder="1" applyAlignment="1">
      <alignment horizontal="center" vertical="center"/>
    </xf>
    <xf numFmtId="0" fontId="22" fillId="0" borderId="0" xfId="79" applyFont="1" applyAlignment="1">
      <alignment horizontal="center" vertical="center" wrapText="1"/>
    </xf>
    <xf numFmtId="0" fontId="20" fillId="0" borderId="38" xfId="79" applyFont="1" applyFill="1" applyBorder="1" applyAlignment="1">
      <alignment horizontal="left" vertical="center" wrapText="1"/>
    </xf>
    <xf numFmtId="0" fontId="21" fillId="0" borderId="38" xfId="0" applyFont="1" applyFill="1" applyBorder="1" applyAlignment="1">
      <alignment horizontal="left" vertical="center" wrapText="1"/>
    </xf>
    <xf numFmtId="0" fontId="41" fillId="0" borderId="38" xfId="79" applyFont="1" applyFill="1" applyBorder="1" applyAlignment="1">
      <alignment horizontal="center" vertical="center" wrapText="1"/>
    </xf>
    <xf numFmtId="0" fontId="22" fillId="0" borderId="38" xfId="79" applyFont="1" applyFill="1" applyBorder="1" applyAlignment="1">
      <alignment horizontal="center" vertical="center" wrapText="1"/>
    </xf>
    <xf numFmtId="0" fontId="21" fillId="0" borderId="38" xfId="0" applyFont="1" applyFill="1" applyBorder="1" applyAlignment="1">
      <alignment horizontal="center" vertical="center" wrapText="1"/>
    </xf>
    <xf numFmtId="0" fontId="20" fillId="0" borderId="38" xfId="79" applyFont="1" applyFill="1" applyBorder="1" applyAlignment="1">
      <alignment horizontal="center" vertical="center" wrapText="1"/>
    </xf>
    <xf numFmtId="0" fontId="20" fillId="0" borderId="38" xfId="79" applyNumberFormat="1" applyFont="1" applyFill="1" applyBorder="1" applyAlignment="1">
      <alignment horizontal="center" vertical="center" wrapText="1"/>
    </xf>
    <xf numFmtId="0" fontId="7" fillId="0" borderId="38" xfId="79" applyFont="1" applyFill="1" applyBorder="1" applyAlignment="1">
      <alignment horizontal="center" vertical="center" wrapText="1"/>
    </xf>
    <xf numFmtId="4" fontId="20" fillId="0" borderId="38" xfId="79" applyNumberFormat="1" applyFont="1" applyFill="1" applyBorder="1" applyAlignment="1">
      <alignment horizontal="center" vertical="center" wrapText="1"/>
    </xf>
  </cellXfs>
  <cellStyles count="86">
    <cellStyle name="Activity" xfId="20"/>
    <cellStyle name="Data" xfId="80"/>
    <cellStyle name="Euro" xfId="21"/>
    <cellStyle name="Fixo" xfId="81"/>
    <cellStyle name="Moeda 2" xfId="22"/>
    <cellStyle name="Moeda 2 2" xfId="23"/>
    <cellStyle name="Moeda 2 2 2" xfId="24"/>
    <cellStyle name="Moeda 2 2 3" xfId="25"/>
    <cellStyle name="Moeda 2 2 4" xfId="26"/>
    <cellStyle name="Moeda 2 2 5" xfId="27"/>
    <cellStyle name="Moeda 2 3" xfId="28"/>
    <cellStyle name="Moeda 2 3 2" xfId="29"/>
    <cellStyle name="Moeda 2 3 3" xfId="30"/>
    <cellStyle name="Moeda 2 3 4" xfId="31"/>
    <cellStyle name="Moeda 2 3 5" xfId="32"/>
    <cellStyle name="Moeda 3" xfId="33"/>
    <cellStyle name="Moeda 4" xfId="34"/>
    <cellStyle name="Moeda 5" xfId="35"/>
    <cellStyle name="Moeda 6" xfId="36"/>
    <cellStyle name="Normal" xfId="0" builtinId="0"/>
    <cellStyle name="Normal 15" xfId="37"/>
    <cellStyle name="Normal 2" xfId="1"/>
    <cellStyle name="Normal 2 2" xfId="9"/>
    <cellStyle name="Normal 2 3" xfId="14"/>
    <cellStyle name="Normal 2 3 2" xfId="17"/>
    <cellStyle name="Normal 2 4" xfId="16"/>
    <cellStyle name="Normal 3" xfId="6"/>
    <cellStyle name="Normal 3 2" xfId="38"/>
    <cellStyle name="Normal 3 3" xfId="5"/>
    <cellStyle name="Normal 4" xfId="39"/>
    <cellStyle name="Normal 4 2" xfId="40"/>
    <cellStyle name="Normal 5" xfId="41"/>
    <cellStyle name="Normal 6" xfId="79"/>
    <cellStyle name="Normal 67" xfId="42"/>
    <cellStyle name="Normal 7 2" xfId="43"/>
    <cellStyle name="Normal 8 2" xfId="4"/>
    <cellStyle name="Normal 8 2 2" xfId="19"/>
    <cellStyle name="Normal_Anexo 2" xfId="12"/>
    <cellStyle name="Normal_Planilha e Cronograma Rev 16 2" xfId="13"/>
    <cellStyle name="Percent Complete" xfId="44"/>
    <cellStyle name="Percentual" xfId="82"/>
    <cellStyle name="Period Headers" xfId="45"/>
    <cellStyle name="Ponto" xfId="83"/>
    <cellStyle name="Porcentagem 2" xfId="11"/>
    <cellStyle name="Porcentagem 3" xfId="3"/>
    <cellStyle name="Porcentagem 5" xfId="15"/>
    <cellStyle name="Project Headers" xfId="46"/>
    <cellStyle name="Separador de milhares 19" xfId="47"/>
    <cellStyle name="Separador de milhares 2" xfId="18"/>
    <cellStyle name="Separador de milhares 2 2" xfId="48"/>
    <cellStyle name="Separador de milhares 2 2 2" xfId="49"/>
    <cellStyle name="Separador de milhares 2 2 2 2" xfId="50"/>
    <cellStyle name="Separador de milhares 2 2 2 2 2" xfId="51"/>
    <cellStyle name="Separador de milhares 2 2 2 2 3" xfId="52"/>
    <cellStyle name="Separador de milhares 2 2 2 2 4" xfId="53"/>
    <cellStyle name="Separador de milhares 2 2 2 2 5" xfId="54"/>
    <cellStyle name="Separador de milhares 2 2 3" xfId="55"/>
    <cellStyle name="Separador de milhares 2 2 3 2" xfId="56"/>
    <cellStyle name="Separador de milhares 2 2 3 3" xfId="57"/>
    <cellStyle name="Separador de milhares 2 2 3 4" xfId="58"/>
    <cellStyle name="Separador de milhares 2 2 3 5" xfId="59"/>
    <cellStyle name="Separador de milhares 2 3" xfId="60"/>
    <cellStyle name="Separador de milhares 2 3 2" xfId="61"/>
    <cellStyle name="Separador de milhares 2 3 3" xfId="62"/>
    <cellStyle name="Separador de milhares 2 3 4" xfId="63"/>
    <cellStyle name="Separador de milhares 2 3 5" xfId="64"/>
    <cellStyle name="Separador de milhares 2 4" xfId="65"/>
    <cellStyle name="Separador de milhares 2 5" xfId="66"/>
    <cellStyle name="Separador de milhares 2 6" xfId="67"/>
    <cellStyle name="Separador de milhares 2 7" xfId="68"/>
    <cellStyle name="Separador de milhares 3" xfId="69"/>
    <cellStyle name="Separador de milhares 3 2" xfId="70"/>
    <cellStyle name="Separador de milhares 3 3" xfId="71"/>
    <cellStyle name="Separador de milhares 3 4" xfId="72"/>
    <cellStyle name="Separador de milhares 3 5" xfId="73"/>
    <cellStyle name="Separador de milhares 4" xfId="74"/>
    <cellStyle name="Separador de milhares 5" xfId="75"/>
    <cellStyle name="Separador de milhares 6" xfId="76"/>
    <cellStyle name="Titulo1" xfId="84"/>
    <cellStyle name="Titulo2" xfId="85"/>
    <cellStyle name="Vírgula 2" xfId="7"/>
    <cellStyle name="Vírgula 2 2" xfId="8"/>
    <cellStyle name="Vírgula 3" xfId="2"/>
    <cellStyle name="Vírgula 4" xfId="10"/>
    <cellStyle name="Vírgula 4 2" xfId="77"/>
    <cellStyle name="Vírgula 7" xfId="78"/>
  </cellStyles>
  <dxfs count="0"/>
  <tableStyles count="0" defaultTableStyle="TableStyleMedium9" defaultPivotStyle="PivotStyleLight16"/>
  <colors>
    <mruColors>
      <color rgb="FF26FA3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38100</xdr:rowOff>
    </xdr:from>
    <xdr:to>
      <xdr:col>2</xdr:col>
      <xdr:colOff>306917</xdr:colOff>
      <xdr:row>3</xdr:row>
      <xdr:rowOff>110207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71500" y="38100"/>
          <a:ext cx="887942" cy="7579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127001</xdr:colOff>
      <xdr:row>0</xdr:row>
      <xdr:rowOff>47997</xdr:rowOff>
    </xdr:from>
    <xdr:to>
      <xdr:col>1</xdr:col>
      <xdr:colOff>575734</xdr:colOff>
      <xdr:row>4</xdr:row>
      <xdr:rowOff>19190</xdr:rowOff>
    </xdr:to>
    <xdr:pic>
      <xdr:nvPicPr>
        <xdr:cNvPr id="3" name="Imagem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127001" y="47997"/>
          <a:ext cx="1073150" cy="91311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_udi2\orcament\ORGAOS\INFRAERO\Concorr&#234;ncia\CO%20009%202003%20Aerop%20Udia\Planilha%20Or&#231;ament&#225;ria%20-%20Brig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_UDI2\ORCAMENT\CIDADES\OSASCO\Concorr&#234;ncia\Cp%20028-02\Anexo%20III%20-%20Planilha%20de%20Or&#231;amento\Planilha%20de%20Or&#231;ament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_UDI2\ORCAMENT\CIDADES\Uberl&#226;ndia\Cp511-01\planilha%20comparativ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_UDI2\ORCAMENT\ORGAOS\COPASA\TOMADAPR\DVLI.0.103-00-TNO\Dvli.0.103-0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_UDI1\ORCAMENT\ProducaoGeral\CTR%20-%20Pre&#231;os\Pre&#231;os%20CTR%20industria%20%2025-07-2002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_Trabalho/Prefeitura/Asfalto/Pavimenta&#231;&#227;o%20e%20Recapeamento/PAC%202%20-%203&#170;%20Etapa/2013-05%20-%20Enviado%20CAIXA/ProducaoGeral/CTR%20-%20Pre&#231;os/Pre&#231;os%20CTR%20industria%20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_UDI2\ORCAMENT\Or&#231;amento\Planilhas%20Or&#231;amento\HomeHor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_UDI2\ORCAMENT\Or&#231;amento\Planilhas%20Or&#231;amento\BDITAXA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_UDI1\users\ProducaoGeral\CTR%20-%20Pre&#231;os\Pre&#231;os%20CTR%20Tubos%20%2017-04-0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reço"/>
      <sheetName val="Planilha de Preço"/>
      <sheetName val="Cronograma"/>
      <sheetName val="Demonstrativo B.D.I."/>
    </sheetNames>
    <sheetDataSet>
      <sheetData sheetId="0"/>
      <sheetData sheetId="1"/>
      <sheetData sheetId="2"/>
      <sheetData sheetId="3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Módulo4"/>
      <sheetName val="Módulo3"/>
      <sheetName val="Módulo2"/>
      <sheetName val="Módulo1"/>
      <sheetName val="Custo"/>
      <sheetName val="Preço"/>
      <sheetName val="demons"/>
      <sheetName val="demons (2)"/>
      <sheetName val="pci"/>
      <sheetName val="Orçamento"/>
      <sheetName val="mão de obra"/>
      <sheetName val="MO-EQUIP"/>
      <sheetName val="SEGURANÇA"/>
      <sheetName val="Indiretos"/>
      <sheetName val="Crono"/>
      <sheetName val="LocFormas"/>
      <sheetName val="formas"/>
      <sheetName val="LevGaleria"/>
      <sheetName val="planilha transp"/>
      <sheetName val="Fresagem"/>
      <sheetName val="composições"/>
      <sheetName val="Escavação"/>
      <sheetName val="frete mf"/>
      <sheetName val="Planilha de Preço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Custo"/>
      <sheetName val="Preço "/>
      <sheetName val="Resumo"/>
      <sheetName val="Planilha comparativa"/>
      <sheetName val="Planilha comparativa (2)"/>
      <sheetName val="Planilha comparativa (3)"/>
      <sheetName val="Planilha comparativa (4)"/>
      <sheetName val="Planilha simulaçao (4)"/>
      <sheetName val="Planilha simulaçao (5)-briga"/>
      <sheetName val="Planilha Preço Prop x Custo Alt"/>
      <sheetName val="Planilha Preço Prop x Custo pre"/>
      <sheetName val="Planilha Preço Prop x Custo (2)"/>
      <sheetName val="Cronograma"/>
      <sheetName val="Encargos Sociais"/>
      <sheetName val="B.D.I.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Custo"/>
      <sheetName val="Preço"/>
      <sheetName val="Planilha DVLI.0.103-00-TNO"/>
      <sheetName val="Comp.Anal. Custo"/>
      <sheetName val="Enc. Sociais"/>
      <sheetName val="B.D.I."/>
      <sheetName val="B.D.I. Demonstrativo"/>
      <sheetName val="Taxa Adm. so materiais"/>
      <sheetName val="B.D.I. Demonstrativo (2)"/>
      <sheetName val="C.U"/>
    </sheetNames>
    <sheetDataSet>
      <sheetData sheetId="0"/>
      <sheetData sheetId="1"/>
      <sheetData sheetId="2"/>
      <sheetData sheetId="3"/>
      <sheetData sheetId="4"/>
      <sheetData sheetId="5">
        <row r="7">
          <cell r="D7">
            <v>22386.5</v>
          </cell>
        </row>
        <row r="12">
          <cell r="D12">
            <v>13000</v>
          </cell>
        </row>
      </sheetData>
      <sheetData sheetId="6"/>
      <sheetData sheetId="7"/>
      <sheetData sheetId="8" refreshError="1"/>
      <sheetData sheetId="9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de Telas"/>
      <sheetName val="Preços insumos"/>
      <sheetName val="Tabela de Produdos"/>
      <sheetName val="Traços concreto"/>
      <sheetName val="Traços CBUQ-PMQ"/>
      <sheetName val="C"/>
    </sheetNames>
    <sheetDataSet>
      <sheetData sheetId="0"/>
      <sheetData sheetId="1" refreshError="1">
        <row r="11">
          <cell r="F11">
            <v>1.19</v>
          </cell>
        </row>
      </sheetData>
      <sheetData sheetId="2"/>
      <sheetData sheetId="3"/>
      <sheetData sheetId="4"/>
      <sheetData sheetId="5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Planilha de Telas"/>
      <sheetName val="Preços insumos"/>
      <sheetName val="Tabela de Produtos"/>
      <sheetName val="Traços concreto"/>
      <sheetName val="Traços CBUQ-PMQ"/>
    </sheetNames>
    <sheetDataSet>
      <sheetData sheetId="0"/>
      <sheetData sheetId="1">
        <row r="11">
          <cell r="F11">
            <v>1.89</v>
          </cell>
        </row>
      </sheetData>
      <sheetData sheetId="2"/>
      <sheetData sheetId="3"/>
      <sheetData sheetId="4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Inicio"/>
      <sheetName val="Salários"/>
      <sheetName val="Equipe"/>
      <sheetName val="Calc"/>
      <sheetName val="Insumos"/>
      <sheetName val="HH"/>
      <sheetName val="Mensal"/>
      <sheetName val="Total"/>
      <sheetName val="Memorial"/>
      <sheetName val="Prog"/>
      <sheetName val="Module1"/>
      <sheetName val="Module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7">
          <cell r="D27">
            <v>1.2401351210167211</v>
          </cell>
        </row>
      </sheetData>
      <sheetData sheetId="8"/>
      <sheetData sheetId="9">
        <row r="4">
          <cell r="B4">
            <v>1</v>
          </cell>
        </row>
      </sheetData>
      <sheetData sheetId="10" refreshError="1"/>
      <sheetData sheetId="11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dministrativo"/>
      <sheetName val="Saída"/>
      <sheetName val="Financ"/>
      <sheetName val="BDI"/>
      <sheetName val="Module2"/>
      <sheetName val="ADM"/>
      <sheetName val="OK"/>
      <sheetName val="BDITAXA"/>
      <sheetName val="Total"/>
      <sheetName val="Prog"/>
      <sheetName val="Memorial"/>
    </sheetNames>
    <sheetDataSet>
      <sheetData sheetId="0"/>
      <sheetData sheetId="1"/>
      <sheetData sheetId="2"/>
      <sheetData sheetId="3"/>
      <sheetData sheetId="4" refreshError="1"/>
      <sheetData sheetId="5"/>
      <sheetData sheetId="6">
        <row r="27">
          <cell r="A27">
            <v>1</v>
          </cell>
        </row>
      </sheetData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Preços insumos"/>
      <sheetName val="Tabela de Produdos"/>
      <sheetName val="Traços concreto"/>
      <sheetName val="RES9295"/>
      <sheetName val="TABEMOP"/>
    </sheetNames>
    <sheetDataSet>
      <sheetData sheetId="0">
        <row r="6">
          <cell r="F6">
            <v>3.1689999999999996</v>
          </cell>
        </row>
        <row r="8">
          <cell r="F8">
            <v>3.7004166666666669</v>
          </cell>
        </row>
        <row r="9">
          <cell r="F9">
            <v>4.1120833333333335</v>
          </cell>
        </row>
      </sheetData>
      <sheetData sheetId="1"/>
      <sheetData sheetId="2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289"/>
  <sheetViews>
    <sheetView showGridLines="0" view="pageBreakPreview" topLeftCell="A26" zoomScale="70" zoomScaleSheetLayoutView="70" workbookViewId="0">
      <selection activeCell="G269" sqref="G269"/>
    </sheetView>
  </sheetViews>
  <sheetFormatPr defaultRowHeight="15.75"/>
  <cols>
    <col min="1" max="1" width="9.33203125" style="61" customWidth="1"/>
    <col min="2" max="2" width="10.83203125" style="4" customWidth="1"/>
    <col min="3" max="3" width="21.5" style="4" bestFit="1" customWidth="1"/>
    <col min="4" max="4" width="80.83203125" style="5" customWidth="1"/>
    <col min="5" max="5" width="18.83203125" style="4" customWidth="1"/>
    <col min="6" max="6" width="18.83203125" style="6" customWidth="1"/>
    <col min="7" max="7" width="18.83203125" style="7" customWidth="1"/>
    <col min="8" max="8" width="18.83203125" style="6" customWidth="1"/>
    <col min="9" max="9" width="18.83203125" style="7" customWidth="1"/>
    <col min="10" max="10" width="12.83203125" style="7" customWidth="1"/>
    <col min="11" max="11" width="16.33203125" style="154" customWidth="1"/>
    <col min="12" max="13" width="20.83203125" style="154" customWidth="1"/>
    <col min="14" max="16" width="20.83203125" style="154" hidden="1" customWidth="1"/>
    <col min="17" max="18" width="20.83203125" customWidth="1"/>
  </cols>
  <sheetData>
    <row r="1" spans="1:18" ht="22.5">
      <c r="B1" s="234" t="s">
        <v>214</v>
      </c>
      <c r="C1" s="235"/>
      <c r="D1" s="235"/>
      <c r="E1" s="235"/>
      <c r="F1" s="235"/>
      <c r="G1" s="235"/>
      <c r="H1" s="235"/>
      <c r="I1" s="235"/>
      <c r="J1" s="236"/>
      <c r="K1" s="118"/>
      <c r="L1" s="118"/>
      <c r="M1" s="118"/>
    </row>
    <row r="2" spans="1:18">
      <c r="B2" s="109"/>
      <c r="C2" s="111"/>
      <c r="D2" s="111"/>
      <c r="E2" s="111"/>
      <c r="F2" s="111"/>
      <c r="G2" s="111"/>
      <c r="H2" s="111"/>
      <c r="I2" s="111"/>
      <c r="J2" s="112"/>
      <c r="K2" s="118"/>
      <c r="L2" s="118"/>
      <c r="M2" s="118"/>
    </row>
    <row r="3" spans="1:18">
      <c r="B3" s="110"/>
      <c r="C3" s="111"/>
      <c r="D3" s="111"/>
      <c r="E3" s="111"/>
      <c r="F3" s="111"/>
      <c r="G3" s="225" t="s">
        <v>291</v>
      </c>
      <c r="H3" s="226"/>
      <c r="I3" s="226"/>
      <c r="J3" s="227"/>
      <c r="K3" s="11"/>
      <c r="L3" s="11"/>
      <c r="M3" s="11"/>
    </row>
    <row r="4" spans="1:18" ht="18.75">
      <c r="B4" s="237" t="s">
        <v>141</v>
      </c>
      <c r="C4" s="238"/>
      <c r="D4" s="238"/>
      <c r="E4" s="238"/>
      <c r="F4" s="239"/>
      <c r="G4" s="228"/>
      <c r="H4" s="229"/>
      <c r="I4" s="229"/>
      <c r="J4" s="230"/>
      <c r="K4" s="11"/>
      <c r="L4" s="11"/>
      <c r="M4" s="11"/>
    </row>
    <row r="5" spans="1:18">
      <c r="B5" s="240" t="s">
        <v>711</v>
      </c>
      <c r="C5" s="241"/>
      <c r="D5" s="241"/>
      <c r="E5" s="241"/>
      <c r="F5" s="242"/>
      <c r="G5" s="228"/>
      <c r="H5" s="229"/>
      <c r="I5" s="229"/>
      <c r="J5" s="230"/>
      <c r="K5" s="11"/>
      <c r="L5" s="11"/>
      <c r="M5" s="11"/>
    </row>
    <row r="6" spans="1:18" s="146" customFormat="1" ht="31.5" customHeight="1">
      <c r="A6" s="61"/>
      <c r="B6" s="240" t="s">
        <v>713</v>
      </c>
      <c r="C6" s="241"/>
      <c r="D6" s="241"/>
      <c r="E6" s="241"/>
      <c r="F6" s="242"/>
      <c r="G6" s="228"/>
      <c r="H6" s="229"/>
      <c r="I6" s="229"/>
      <c r="J6" s="230"/>
      <c r="K6" s="11"/>
      <c r="L6" s="11"/>
      <c r="M6" s="11"/>
      <c r="N6" s="193"/>
      <c r="O6" s="193"/>
      <c r="P6" s="193"/>
    </row>
    <row r="7" spans="1:18">
      <c r="B7" s="240" t="s">
        <v>712</v>
      </c>
      <c r="C7" s="241"/>
      <c r="D7" s="241"/>
      <c r="E7" s="241"/>
      <c r="F7" s="242"/>
      <c r="G7" s="231"/>
      <c r="H7" s="232"/>
      <c r="I7" s="232"/>
      <c r="J7" s="233"/>
      <c r="K7" s="11"/>
      <c r="L7" s="11"/>
      <c r="M7" s="11"/>
    </row>
    <row r="8" spans="1:18" ht="9.9499999999999993" customHeight="1">
      <c r="B8" s="106"/>
      <c r="C8" s="96"/>
      <c r="D8" s="96"/>
      <c r="E8" s="96"/>
      <c r="F8" s="96"/>
      <c r="G8" s="149"/>
      <c r="H8" s="107"/>
      <c r="I8" s="107"/>
      <c r="J8" s="104"/>
      <c r="K8" s="11"/>
      <c r="L8" s="11"/>
      <c r="M8" s="11"/>
    </row>
    <row r="9" spans="1:18">
      <c r="B9" s="114"/>
      <c r="C9" s="115"/>
      <c r="D9" s="115"/>
      <c r="E9" s="113" t="s">
        <v>190</v>
      </c>
      <c r="F9" s="115"/>
      <c r="G9" s="115"/>
      <c r="H9" s="115"/>
      <c r="I9" s="115"/>
      <c r="J9" s="116"/>
      <c r="K9" s="183"/>
      <c r="L9" s="183"/>
      <c r="M9" s="183"/>
    </row>
    <row r="10" spans="1:18" ht="31.5">
      <c r="B10" s="221" t="s">
        <v>164</v>
      </c>
      <c r="C10" s="221"/>
      <c r="D10" s="99" t="s">
        <v>165</v>
      </c>
      <c r="E10" s="99" t="s">
        <v>166</v>
      </c>
      <c r="F10" s="218">
        <f>ROUND((((1+E11+E14+E15)*(1+E13)*(1+E12))/(1-(E16+0.045)))-1,4)</f>
        <v>0.23150000000000001</v>
      </c>
      <c r="G10" s="219"/>
      <c r="H10" s="219"/>
      <c r="I10" s="219"/>
      <c r="J10" s="220"/>
      <c r="K10" s="24"/>
      <c r="L10" s="151" t="s">
        <v>213</v>
      </c>
      <c r="M10" s="119">
        <v>0.05</v>
      </c>
      <c r="P10" s="151"/>
      <c r="Q10" s="151">
        <v>1</v>
      </c>
      <c r="R10" s="151">
        <v>1</v>
      </c>
    </row>
    <row r="11" spans="1:18">
      <c r="B11" s="247" t="s">
        <v>167</v>
      </c>
      <c r="C11" s="247"/>
      <c r="D11" s="33" t="s">
        <v>168</v>
      </c>
      <c r="E11" s="199">
        <v>0.03</v>
      </c>
      <c r="F11" s="248" t="s">
        <v>169</v>
      </c>
      <c r="G11" s="249"/>
      <c r="H11" s="249"/>
      <c r="I11" s="249"/>
      <c r="J11" s="250"/>
      <c r="K11" s="25"/>
      <c r="L11" s="25"/>
      <c r="M11" s="25"/>
    </row>
    <row r="12" spans="1:18">
      <c r="B12" s="214" t="s">
        <v>170</v>
      </c>
      <c r="C12" s="215"/>
      <c r="D12" s="34" t="s">
        <v>171</v>
      </c>
      <c r="E12" s="200">
        <v>6.1600000000000002E-2</v>
      </c>
      <c r="F12" s="251"/>
      <c r="G12" s="252"/>
      <c r="H12" s="252"/>
      <c r="I12" s="252"/>
      <c r="J12" s="253"/>
      <c r="K12" s="25"/>
      <c r="L12" s="25"/>
      <c r="M12" s="25"/>
    </row>
    <row r="13" spans="1:18">
      <c r="B13" s="214" t="s">
        <v>172</v>
      </c>
      <c r="C13" s="215"/>
      <c r="D13" s="34" t="s">
        <v>173</v>
      </c>
      <c r="E13" s="200">
        <v>5.8999999999999999E-3</v>
      </c>
      <c r="F13" s="251"/>
      <c r="G13" s="252"/>
      <c r="H13" s="252"/>
      <c r="I13" s="252"/>
      <c r="J13" s="253"/>
      <c r="K13" s="25"/>
      <c r="L13" s="25"/>
      <c r="M13" s="25"/>
    </row>
    <row r="14" spans="1:18">
      <c r="B14" s="214" t="s">
        <v>174</v>
      </c>
      <c r="C14" s="215"/>
      <c r="D14" s="34" t="s">
        <v>175</v>
      </c>
      <c r="E14" s="200">
        <v>8.0000000000000002E-3</v>
      </c>
      <c r="F14" s="208" t="s">
        <v>179</v>
      </c>
      <c r="G14" s="209"/>
      <c r="H14" s="209"/>
      <c r="I14" s="209"/>
      <c r="J14" s="210"/>
      <c r="K14" s="10"/>
      <c r="L14" s="10"/>
      <c r="M14" s="10"/>
    </row>
    <row r="15" spans="1:18">
      <c r="B15" s="214" t="s">
        <v>176</v>
      </c>
      <c r="C15" s="215"/>
      <c r="D15" s="34" t="s">
        <v>177</v>
      </c>
      <c r="E15" s="200">
        <v>9.7000000000000003E-3</v>
      </c>
      <c r="F15" s="208"/>
      <c r="G15" s="209"/>
      <c r="H15" s="209"/>
      <c r="I15" s="209"/>
      <c r="J15" s="210"/>
      <c r="K15" s="10"/>
      <c r="L15" s="10"/>
      <c r="M15" s="10"/>
    </row>
    <row r="16" spans="1:18">
      <c r="B16" s="216" t="s">
        <v>178</v>
      </c>
      <c r="C16" s="217"/>
      <c r="D16" s="35" t="s">
        <v>290</v>
      </c>
      <c r="E16" s="201">
        <v>4.65E-2</v>
      </c>
      <c r="F16" s="211"/>
      <c r="G16" s="212"/>
      <c r="H16" s="212"/>
      <c r="I16" s="212"/>
      <c r="J16" s="213"/>
      <c r="K16" s="10"/>
      <c r="L16" s="10"/>
      <c r="M16" s="10"/>
    </row>
    <row r="17" spans="1:18" s="95" customFormat="1" ht="9.9499999999999993" customHeight="1">
      <c r="A17" s="61"/>
      <c r="B17" s="108"/>
      <c r="C17" s="30"/>
      <c r="D17" s="30"/>
      <c r="E17" s="31"/>
      <c r="F17" s="105"/>
      <c r="G17" s="105"/>
      <c r="H17" s="105"/>
      <c r="I17" s="105"/>
      <c r="J17" s="32"/>
      <c r="K17" s="10"/>
      <c r="L17" s="10"/>
      <c r="M17" s="10"/>
      <c r="N17" s="154"/>
      <c r="O17" s="154"/>
      <c r="P17" s="154"/>
    </row>
    <row r="18" spans="1:18" s="95" customFormat="1" hidden="1">
      <c r="A18" s="61"/>
      <c r="B18" s="222" t="s">
        <v>714</v>
      </c>
      <c r="C18" s="223"/>
      <c r="D18" s="223"/>
      <c r="E18" s="223"/>
      <c r="F18" s="223"/>
      <c r="G18" s="223"/>
      <c r="H18" s="223"/>
      <c r="I18" s="223"/>
      <c r="J18" s="224"/>
      <c r="K18" s="184"/>
      <c r="L18" s="184"/>
      <c r="M18" s="184"/>
      <c r="N18" s="154"/>
      <c r="O18" s="154"/>
      <c r="P18" s="154"/>
    </row>
    <row r="19" spans="1:18" s="95" customFormat="1" ht="31.5" hidden="1">
      <c r="A19" s="61"/>
      <c r="B19" s="221" t="s">
        <v>164</v>
      </c>
      <c r="C19" s="221"/>
      <c r="D19" s="99" t="s">
        <v>165</v>
      </c>
      <c r="E19" s="99" t="s">
        <v>166</v>
      </c>
      <c r="F19" s="218">
        <f>ROUND((((1+E20+E23)*(1+E22)*(1+E21))/(1-(E24+0.045)))-1,4)</f>
        <v>0.13059999999999999</v>
      </c>
      <c r="G19" s="219"/>
      <c r="H19" s="219"/>
      <c r="I19" s="219"/>
      <c r="J19" s="220"/>
      <c r="K19" s="24"/>
      <c r="L19" s="24"/>
      <c r="M19" s="24"/>
      <c r="N19" s="154"/>
      <c r="O19" s="154"/>
      <c r="P19" s="154"/>
    </row>
    <row r="20" spans="1:18" s="95" customFormat="1" hidden="1">
      <c r="A20" s="61"/>
      <c r="B20" s="247" t="s">
        <v>167</v>
      </c>
      <c r="C20" s="247"/>
      <c r="D20" s="33" t="s">
        <v>181</v>
      </c>
      <c r="E20" s="194">
        <v>1.2999999999999999E-2</v>
      </c>
      <c r="F20" s="248" t="s">
        <v>169</v>
      </c>
      <c r="G20" s="249"/>
      <c r="H20" s="249"/>
      <c r="I20" s="249"/>
      <c r="J20" s="250"/>
      <c r="K20" s="25"/>
      <c r="L20" s="25"/>
      <c r="M20" s="25"/>
      <c r="N20" s="154"/>
      <c r="O20" s="154"/>
      <c r="P20" s="154"/>
    </row>
    <row r="21" spans="1:18" s="95" customFormat="1" hidden="1">
      <c r="A21" s="61"/>
      <c r="B21" s="214" t="s">
        <v>170</v>
      </c>
      <c r="C21" s="215"/>
      <c r="D21" s="34" t="s">
        <v>182</v>
      </c>
      <c r="E21" s="195">
        <v>1.7500000000000002E-2</v>
      </c>
      <c r="F21" s="251"/>
      <c r="G21" s="252"/>
      <c r="H21" s="252"/>
      <c r="I21" s="252"/>
      <c r="J21" s="253"/>
      <c r="K21" s="25"/>
      <c r="L21" s="25"/>
      <c r="M21" s="25"/>
      <c r="N21" s="154"/>
      <c r="O21" s="154"/>
      <c r="P21" s="154"/>
    </row>
    <row r="22" spans="1:18" s="95" customFormat="1" hidden="1">
      <c r="A22" s="61"/>
      <c r="B22" s="214" t="s">
        <v>172</v>
      </c>
      <c r="C22" s="215"/>
      <c r="D22" s="34" t="s">
        <v>183</v>
      </c>
      <c r="E22" s="195">
        <v>5.0000000000000001E-3</v>
      </c>
      <c r="F22" s="208" t="s">
        <v>179</v>
      </c>
      <c r="G22" s="209"/>
      <c r="H22" s="209"/>
      <c r="I22" s="209"/>
      <c r="J22" s="210"/>
      <c r="K22" s="25"/>
      <c r="L22" s="25"/>
      <c r="M22" s="25"/>
      <c r="N22" s="154"/>
      <c r="O22" s="154"/>
      <c r="P22" s="154"/>
    </row>
    <row r="23" spans="1:18" s="95" customFormat="1" hidden="1">
      <c r="A23" s="61"/>
      <c r="B23" s="214" t="s">
        <v>186</v>
      </c>
      <c r="C23" s="215"/>
      <c r="D23" s="34" t="s">
        <v>185</v>
      </c>
      <c r="E23" s="195">
        <v>2.5000000000000001E-3</v>
      </c>
      <c r="F23" s="208"/>
      <c r="G23" s="209"/>
      <c r="H23" s="209"/>
      <c r="I23" s="209"/>
      <c r="J23" s="210"/>
      <c r="K23" s="10"/>
      <c r="L23" s="10"/>
      <c r="M23" s="10"/>
      <c r="N23" s="154"/>
      <c r="O23" s="154"/>
      <c r="P23" s="154"/>
      <c r="Q23" s="197"/>
      <c r="R23" s="198"/>
    </row>
    <row r="24" spans="1:18" s="95" customFormat="1" hidden="1">
      <c r="A24" s="61"/>
      <c r="B24" s="216" t="s">
        <v>178</v>
      </c>
      <c r="C24" s="217"/>
      <c r="D24" s="35" t="s">
        <v>211</v>
      </c>
      <c r="E24" s="196">
        <v>3.6499999999999998E-2</v>
      </c>
      <c r="F24" s="211"/>
      <c r="G24" s="212"/>
      <c r="H24" s="212"/>
      <c r="I24" s="212"/>
      <c r="J24" s="213"/>
      <c r="K24" s="10"/>
      <c r="L24" s="10"/>
      <c r="M24" s="10"/>
      <c r="N24" s="154"/>
      <c r="O24" s="154"/>
      <c r="P24" s="154"/>
      <c r="Q24" s="204" t="s">
        <v>292</v>
      </c>
      <c r="R24" s="205"/>
    </row>
    <row r="25" spans="1:18" s="95" customFormat="1" ht="9.9499999999999993" hidden="1" customHeight="1">
      <c r="A25" s="61"/>
      <c r="B25" s="28"/>
      <c r="C25" s="29"/>
      <c r="D25" s="29"/>
      <c r="E25" s="29"/>
      <c r="F25" s="98"/>
      <c r="G25" s="148"/>
      <c r="H25" s="148"/>
      <c r="I25" s="148"/>
      <c r="J25" s="97"/>
      <c r="K25" s="185"/>
      <c r="L25" s="246"/>
      <c r="M25" s="246"/>
      <c r="N25" s="154"/>
      <c r="O25" s="154"/>
      <c r="P25" s="154"/>
      <c r="Q25" s="206"/>
      <c r="R25" s="207"/>
    </row>
    <row r="26" spans="1:18" s="95" customFormat="1" ht="31.5">
      <c r="A26" s="61"/>
      <c r="B26" s="151" t="s">
        <v>1</v>
      </c>
      <c r="C26" s="151" t="s">
        <v>2</v>
      </c>
      <c r="D26" s="151" t="s">
        <v>193</v>
      </c>
      <c r="E26" s="151" t="s">
        <v>194</v>
      </c>
      <c r="F26" s="147" t="s">
        <v>3</v>
      </c>
      <c r="G26" s="152" t="s">
        <v>4</v>
      </c>
      <c r="H26" s="152" t="s">
        <v>0</v>
      </c>
      <c r="I26" s="152" t="s">
        <v>5</v>
      </c>
      <c r="J26" s="152" t="s">
        <v>7</v>
      </c>
      <c r="K26" s="26" t="s">
        <v>191</v>
      </c>
      <c r="L26" s="151" t="s">
        <v>2</v>
      </c>
      <c r="M26" s="152" t="s">
        <v>4</v>
      </c>
      <c r="N26" s="243" t="s">
        <v>215</v>
      </c>
      <c r="O26" s="244"/>
      <c r="P26" s="245"/>
      <c r="Q26" s="151" t="s">
        <v>293</v>
      </c>
      <c r="R26" s="151" t="s">
        <v>294</v>
      </c>
    </row>
    <row r="27" spans="1:18" s="95" customFormat="1">
      <c r="A27" s="61"/>
      <c r="B27" s="12" t="s">
        <v>12</v>
      </c>
      <c r="C27" s="117"/>
      <c r="D27" s="23" t="s">
        <v>17</v>
      </c>
      <c r="E27" s="19"/>
      <c r="F27" s="20"/>
      <c r="G27" s="21"/>
      <c r="H27" s="20"/>
      <c r="I27" s="21"/>
      <c r="J27" s="8"/>
      <c r="K27" s="186"/>
      <c r="L27" s="186"/>
      <c r="M27" s="186"/>
      <c r="N27" s="154"/>
      <c r="O27" s="154"/>
      <c r="P27" s="154"/>
    </row>
    <row r="28" spans="1:18" s="95" customFormat="1" ht="94.5">
      <c r="A28" s="61"/>
      <c r="B28" s="13" t="s">
        <v>8</v>
      </c>
      <c r="C28" s="14" t="str">
        <f>L28</f>
        <v>ED-16660</v>
      </c>
      <c r="D28" s="15" t="s">
        <v>317</v>
      </c>
      <c r="E28" s="16" t="s">
        <v>296</v>
      </c>
      <c r="F28" s="17">
        <f>ROUND(Q28*$Q$10+R28*$R$10,2)</f>
        <v>4.5</v>
      </c>
      <c r="G28" s="17">
        <f>ROUND(M28*(1-$M$10),2)</f>
        <v>173.21</v>
      </c>
      <c r="H28" s="17">
        <f>ROUND(G28*(IF(K28="O",(1+$F$10),(1+$F$19))),2)</f>
        <v>213.31</v>
      </c>
      <c r="I28" s="17">
        <f>ROUND((F28*H28),2)</f>
        <v>959.9</v>
      </c>
      <c r="J28" s="101">
        <f t="shared" ref="J28:J36" si="0">I28/$I$284</f>
        <v>1.5025699753991146E-3</v>
      </c>
      <c r="K28" s="94" t="s">
        <v>192</v>
      </c>
      <c r="L28" s="187" t="s">
        <v>295</v>
      </c>
      <c r="M28" s="150">
        <v>182.33</v>
      </c>
      <c r="N28" s="154"/>
      <c r="O28" s="154"/>
      <c r="P28" s="154"/>
      <c r="Q28" s="150">
        <f>3*1.5</f>
        <v>4.5</v>
      </c>
      <c r="R28" s="150"/>
    </row>
    <row r="29" spans="1:18" s="95" customFormat="1" ht="63">
      <c r="A29" s="61"/>
      <c r="B29" s="13" t="s">
        <v>9</v>
      </c>
      <c r="C29" s="14" t="str">
        <f t="shared" ref="C29:C35" si="1">L29</f>
        <v>ED-50150
IIO-LIG-005</v>
      </c>
      <c r="D29" s="15" t="s">
        <v>318</v>
      </c>
      <c r="E29" s="16" t="s">
        <v>297</v>
      </c>
      <c r="F29" s="17">
        <f t="shared" ref="F29:F33" si="2">ROUND(Q29*$Q$10+R29*$R$10,2)</f>
        <v>1</v>
      </c>
      <c r="G29" s="17">
        <f t="shared" ref="G29:G35" si="3">ROUND(M29*(1-$M$10),2)</f>
        <v>287.60000000000002</v>
      </c>
      <c r="H29" s="17">
        <f t="shared" ref="H29:H35" si="4">ROUND(G29*(IF(K29="O",(1+$F$10),(1+$F$19))),2)</f>
        <v>354.18</v>
      </c>
      <c r="I29" s="17">
        <f t="shared" ref="I29:I35" si="5">ROUND((F29*H29),2)</f>
        <v>354.18</v>
      </c>
      <c r="J29" s="101">
        <f t="shared" si="0"/>
        <v>5.5441216156564064E-4</v>
      </c>
      <c r="K29" s="188" t="s">
        <v>192</v>
      </c>
      <c r="L29" s="187" t="s">
        <v>300</v>
      </c>
      <c r="M29" s="150">
        <v>302.74</v>
      </c>
      <c r="N29" s="154"/>
      <c r="O29" s="154"/>
      <c r="P29" s="154"/>
      <c r="Q29" s="150">
        <v>1</v>
      </c>
      <c r="R29" s="150"/>
    </row>
    <row r="30" spans="1:18" ht="31.5">
      <c r="B30" s="13" t="s">
        <v>10</v>
      </c>
      <c r="C30" s="14" t="str">
        <f t="shared" si="1"/>
        <v>ED-50151
IIO-LIG-010</v>
      </c>
      <c r="D30" s="15" t="s">
        <v>319</v>
      </c>
      <c r="E30" s="16" t="s">
        <v>297</v>
      </c>
      <c r="F30" s="17">
        <f t="shared" si="2"/>
        <v>1</v>
      </c>
      <c r="G30" s="17">
        <f t="shared" si="3"/>
        <v>494.2</v>
      </c>
      <c r="H30" s="17">
        <f t="shared" si="4"/>
        <v>608.61</v>
      </c>
      <c r="I30" s="17">
        <f t="shared" si="5"/>
        <v>608.61</v>
      </c>
      <c r="J30" s="101">
        <f t="shared" si="0"/>
        <v>9.5268164676284525E-4</v>
      </c>
      <c r="K30" s="188" t="s">
        <v>192</v>
      </c>
      <c r="L30" s="187" t="s">
        <v>301</v>
      </c>
      <c r="M30" s="150">
        <v>520.21</v>
      </c>
      <c r="Q30" s="150">
        <v>1</v>
      </c>
      <c r="R30" s="150"/>
    </row>
    <row r="31" spans="1:18">
      <c r="B31" s="13" t="s">
        <v>11</v>
      </c>
      <c r="C31" s="14" t="s">
        <v>716</v>
      </c>
      <c r="D31" s="15" t="s">
        <v>715</v>
      </c>
      <c r="E31" s="16" t="s">
        <v>299</v>
      </c>
      <c r="F31" s="17">
        <v>6</v>
      </c>
      <c r="G31" s="17">
        <f t="shared" si="3"/>
        <v>668.58</v>
      </c>
      <c r="H31" s="17">
        <f t="shared" si="4"/>
        <v>823.36</v>
      </c>
      <c r="I31" s="17">
        <f t="shared" si="5"/>
        <v>4940.16</v>
      </c>
      <c r="J31" s="101">
        <f t="shared" si="0"/>
        <v>7.733030617426492E-3</v>
      </c>
      <c r="K31" s="188" t="s">
        <v>192</v>
      </c>
      <c r="L31" s="187">
        <v>93212</v>
      </c>
      <c r="M31" s="150">
        <v>703.77</v>
      </c>
      <c r="Q31" s="150">
        <v>30</v>
      </c>
      <c r="R31" s="150"/>
    </row>
    <row r="32" spans="1:18" s="146" customFormat="1" ht="47.25">
      <c r="A32" s="61"/>
      <c r="B32" s="13" t="s">
        <v>13</v>
      </c>
      <c r="C32" s="14">
        <f t="shared" si="1"/>
        <v>93582</v>
      </c>
      <c r="D32" s="15" t="s">
        <v>154</v>
      </c>
      <c r="E32" s="16" t="s">
        <v>296</v>
      </c>
      <c r="F32" s="17">
        <v>10</v>
      </c>
      <c r="G32" s="17">
        <f t="shared" si="3"/>
        <v>184.28</v>
      </c>
      <c r="H32" s="17">
        <f t="shared" si="4"/>
        <v>226.94</v>
      </c>
      <c r="I32" s="17">
        <f t="shared" si="5"/>
        <v>2269.4</v>
      </c>
      <c r="J32" s="101">
        <f t="shared" si="0"/>
        <v>3.5523828546418909E-3</v>
      </c>
      <c r="K32" s="188" t="s">
        <v>192</v>
      </c>
      <c r="L32" s="187">
        <v>93582</v>
      </c>
      <c r="M32" s="150">
        <v>193.98</v>
      </c>
      <c r="N32" s="193"/>
      <c r="O32" s="193"/>
      <c r="P32" s="193"/>
      <c r="Q32" s="150">
        <v>20</v>
      </c>
      <c r="R32" s="150"/>
    </row>
    <row r="33" spans="1:18" s="146" customFormat="1" ht="47.25">
      <c r="A33" s="61"/>
      <c r="B33" s="13" t="s">
        <v>289</v>
      </c>
      <c r="C33" s="14">
        <f t="shared" si="1"/>
        <v>93584</v>
      </c>
      <c r="D33" s="15" t="s">
        <v>302</v>
      </c>
      <c r="E33" s="16" t="s">
        <v>296</v>
      </c>
      <c r="F33" s="17">
        <f t="shared" si="2"/>
        <v>15.1</v>
      </c>
      <c r="G33" s="17">
        <f t="shared" si="3"/>
        <v>598.34</v>
      </c>
      <c r="H33" s="17">
        <f t="shared" si="4"/>
        <v>736.86</v>
      </c>
      <c r="I33" s="17">
        <f t="shared" si="5"/>
        <v>11126.59</v>
      </c>
      <c r="J33" s="101">
        <f t="shared" si="0"/>
        <v>1.7416897658689482E-2</v>
      </c>
      <c r="K33" s="188" t="s">
        <v>192</v>
      </c>
      <c r="L33" s="187">
        <v>93584</v>
      </c>
      <c r="M33" s="150">
        <v>629.83000000000004</v>
      </c>
      <c r="N33" s="193"/>
      <c r="O33" s="193"/>
      <c r="P33" s="193"/>
      <c r="Q33" s="150">
        <v>15.1</v>
      </c>
      <c r="R33" s="150"/>
    </row>
    <row r="34" spans="1:18" s="146" customFormat="1" ht="78.75">
      <c r="A34" s="61"/>
      <c r="B34" s="13" t="s">
        <v>324</v>
      </c>
      <c r="C34" s="14">
        <f t="shared" si="1"/>
        <v>101202</v>
      </c>
      <c r="D34" s="15" t="s">
        <v>303</v>
      </c>
      <c r="E34" s="16" t="s">
        <v>298</v>
      </c>
      <c r="F34" s="17">
        <v>220.92</v>
      </c>
      <c r="G34" s="17">
        <f t="shared" si="3"/>
        <v>26.6</v>
      </c>
      <c r="H34" s="17">
        <f t="shared" si="4"/>
        <v>32.76</v>
      </c>
      <c r="I34" s="17">
        <f t="shared" si="5"/>
        <v>7237.34</v>
      </c>
      <c r="J34" s="101">
        <f t="shared" si="0"/>
        <v>1.1328898620434451E-2</v>
      </c>
      <c r="K34" s="188" t="s">
        <v>192</v>
      </c>
      <c r="L34" s="187">
        <v>101202</v>
      </c>
      <c r="M34" s="150">
        <v>28</v>
      </c>
      <c r="N34" s="193"/>
      <c r="O34" s="193"/>
      <c r="P34" s="193"/>
      <c r="Q34" s="150">
        <v>296</v>
      </c>
      <c r="R34" s="150"/>
    </row>
    <row r="35" spans="1:18" ht="47.25">
      <c r="B35" s="13" t="s">
        <v>325</v>
      </c>
      <c r="C35" s="14">
        <f t="shared" si="1"/>
        <v>99059</v>
      </c>
      <c r="D35" s="15" t="s">
        <v>316</v>
      </c>
      <c r="E35" s="16" t="s">
        <v>298</v>
      </c>
      <c r="F35" s="17">
        <v>220.92</v>
      </c>
      <c r="G35" s="17">
        <f t="shared" si="3"/>
        <v>36.51</v>
      </c>
      <c r="H35" s="17">
        <f t="shared" si="4"/>
        <v>44.96</v>
      </c>
      <c r="I35" s="17">
        <f t="shared" si="5"/>
        <v>9932.56</v>
      </c>
      <c r="J35" s="101">
        <f t="shared" si="0"/>
        <v>1.5547834602406739E-2</v>
      </c>
      <c r="K35" s="188" t="s">
        <v>192</v>
      </c>
      <c r="L35" s="187">
        <v>99059</v>
      </c>
      <c r="M35" s="150">
        <v>38.43</v>
      </c>
      <c r="Q35" s="150">
        <f>95.15+12.65+12.65+32.6+18+24.75+10.95+32.45+10.05</f>
        <v>249.25</v>
      </c>
      <c r="R35" s="150">
        <f>35+35+25+25</f>
        <v>120</v>
      </c>
    </row>
    <row r="36" spans="1:18">
      <c r="B36" s="36"/>
      <c r="C36" s="37"/>
      <c r="D36" s="38" t="s">
        <v>15</v>
      </c>
      <c r="E36" s="37"/>
      <c r="F36" s="39"/>
      <c r="G36" s="40"/>
      <c r="H36" s="41"/>
      <c r="I36" s="18">
        <f>ROUND(SUM(I28:I35),2)</f>
        <v>37428.74</v>
      </c>
      <c r="J36" s="102">
        <f t="shared" si="0"/>
        <v>5.8588708137326653E-2</v>
      </c>
      <c r="K36" s="57"/>
      <c r="L36" s="187"/>
      <c r="M36" s="94"/>
      <c r="Q36" s="150"/>
      <c r="R36" s="150"/>
    </row>
    <row r="37" spans="1:18" ht="9.9499999999999993" customHeight="1">
      <c r="B37" s="127"/>
      <c r="C37" s="128"/>
      <c r="D37" s="128"/>
      <c r="E37" s="128"/>
      <c r="F37" s="129"/>
      <c r="G37" s="129"/>
      <c r="H37" s="129"/>
      <c r="I37" s="129"/>
      <c r="J37" s="130"/>
      <c r="K37" s="189"/>
      <c r="L37" s="187"/>
      <c r="M37" s="94"/>
      <c r="Q37" s="150"/>
      <c r="R37" s="150"/>
    </row>
    <row r="38" spans="1:18">
      <c r="B38" s="12" t="s">
        <v>18</v>
      </c>
      <c r="C38" s="22"/>
      <c r="D38" s="23" t="s">
        <v>23</v>
      </c>
      <c r="E38" s="19"/>
      <c r="F38" s="20"/>
      <c r="G38" s="21"/>
      <c r="H38" s="20"/>
      <c r="I38" s="21"/>
      <c r="J38" s="8"/>
      <c r="K38" s="190"/>
      <c r="L38" s="187"/>
      <c r="M38" s="94"/>
      <c r="Q38" s="150"/>
      <c r="R38" s="150"/>
    </row>
    <row r="39" spans="1:18" s="1" customFormat="1" ht="31.5">
      <c r="A39" s="62"/>
      <c r="B39" s="13" t="s">
        <v>19</v>
      </c>
      <c r="C39" s="14">
        <f t="shared" ref="C39:C48" si="6">L39</f>
        <v>93358</v>
      </c>
      <c r="D39" s="15" t="s">
        <v>350</v>
      </c>
      <c r="E39" s="16" t="s">
        <v>308</v>
      </c>
      <c r="F39" s="17">
        <v>44.4</v>
      </c>
      <c r="G39" s="17">
        <f t="shared" ref="G39:G48" si="7">ROUND(M39*(1-$M$10),2)</f>
        <v>51.22</v>
      </c>
      <c r="H39" s="17">
        <f t="shared" ref="H39:H48" si="8">ROUND(G39*(IF(K39="O",(1+$F$10),(1+$F$19))),2)</f>
        <v>63.08</v>
      </c>
      <c r="I39" s="17">
        <f t="shared" ref="I39:I48" si="9">ROUND((F39*H39),2)</f>
        <v>2800.75</v>
      </c>
      <c r="J39" s="101">
        <f t="shared" ref="J39:J49" si="10">I39/$I$284</f>
        <v>4.3841263241994688E-3</v>
      </c>
      <c r="K39" s="188" t="s">
        <v>192</v>
      </c>
      <c r="L39" s="187">
        <v>93358</v>
      </c>
      <c r="M39" s="150">
        <v>53.92</v>
      </c>
      <c r="N39" s="154"/>
      <c r="O39" s="154"/>
      <c r="P39" s="154"/>
      <c r="Q39" s="150">
        <v>197.69</v>
      </c>
      <c r="R39" s="150"/>
    </row>
    <row r="40" spans="1:18" s="1" customFormat="1" ht="63">
      <c r="A40" s="62"/>
      <c r="B40" s="13" t="s">
        <v>20</v>
      </c>
      <c r="C40" s="14">
        <f t="shared" si="6"/>
        <v>100896</v>
      </c>
      <c r="D40" s="15" t="s">
        <v>351</v>
      </c>
      <c r="E40" s="16" t="s">
        <v>298</v>
      </c>
      <c r="F40" s="17">
        <v>360</v>
      </c>
      <c r="G40" s="17">
        <f t="shared" si="7"/>
        <v>35.729999999999997</v>
      </c>
      <c r="H40" s="17">
        <f t="shared" si="8"/>
        <v>44</v>
      </c>
      <c r="I40" s="17">
        <f t="shared" si="9"/>
        <v>15840</v>
      </c>
      <c r="J40" s="101">
        <f t="shared" si="10"/>
        <v>2.4794987405273441E-2</v>
      </c>
      <c r="K40" s="188" t="s">
        <v>192</v>
      </c>
      <c r="L40" s="187">
        <v>100896</v>
      </c>
      <c r="M40" s="150">
        <v>37.61</v>
      </c>
      <c r="N40" s="154"/>
      <c r="O40" s="154"/>
      <c r="P40" s="154"/>
      <c r="Q40" s="150">
        <v>2105.1999999999998</v>
      </c>
      <c r="R40" s="150"/>
    </row>
    <row r="41" spans="1:18" s="1" customFormat="1" ht="31.5">
      <c r="A41" s="62"/>
      <c r="B41" s="13" t="s">
        <v>28</v>
      </c>
      <c r="C41" s="14" t="str">
        <f t="shared" si="6"/>
        <v>FUN-LAS-005</v>
      </c>
      <c r="D41" s="15" t="s">
        <v>352</v>
      </c>
      <c r="E41" s="16" t="s">
        <v>308</v>
      </c>
      <c r="F41" s="17">
        <v>6.08</v>
      </c>
      <c r="G41" s="17">
        <f t="shared" si="7"/>
        <v>310.23</v>
      </c>
      <c r="H41" s="17">
        <f t="shared" si="8"/>
        <v>382.05</v>
      </c>
      <c r="I41" s="17">
        <f t="shared" si="9"/>
        <v>2322.86</v>
      </c>
      <c r="J41" s="101">
        <f t="shared" si="10"/>
        <v>3.6360659371346888E-3</v>
      </c>
      <c r="K41" s="188" t="s">
        <v>192</v>
      </c>
      <c r="L41" s="187" t="s">
        <v>104</v>
      </c>
      <c r="M41" s="150">
        <v>326.56</v>
      </c>
      <c r="N41" s="154"/>
      <c r="O41" s="154"/>
      <c r="P41" s="154"/>
      <c r="Q41" s="150">
        <v>14.78</v>
      </c>
      <c r="R41" s="150"/>
    </row>
    <row r="42" spans="1:18" s="1" customFormat="1" ht="63">
      <c r="A42" s="62"/>
      <c r="B42" s="13" t="s">
        <v>29</v>
      </c>
      <c r="C42" s="14">
        <f t="shared" si="6"/>
        <v>96539</v>
      </c>
      <c r="D42" s="15" t="s">
        <v>353</v>
      </c>
      <c r="E42" s="16" t="s">
        <v>296</v>
      </c>
      <c r="F42" s="17">
        <v>57.5</v>
      </c>
      <c r="G42" s="17">
        <f t="shared" si="7"/>
        <v>73.69</v>
      </c>
      <c r="H42" s="17">
        <f t="shared" si="8"/>
        <v>90.75</v>
      </c>
      <c r="I42" s="17">
        <f t="shared" si="9"/>
        <v>5218.13</v>
      </c>
      <c r="J42" s="101">
        <f t="shared" si="10"/>
        <v>8.1681482089065345E-3</v>
      </c>
      <c r="K42" s="188" t="s">
        <v>192</v>
      </c>
      <c r="L42" s="187">
        <v>96539</v>
      </c>
      <c r="M42" s="150">
        <v>77.569999999999993</v>
      </c>
      <c r="N42" s="154"/>
      <c r="O42" s="154"/>
      <c r="P42" s="154"/>
      <c r="Q42" s="150">
        <v>609.02</v>
      </c>
      <c r="R42" s="150"/>
    </row>
    <row r="43" spans="1:18" s="1" customFormat="1" ht="63">
      <c r="A43" s="62"/>
      <c r="B43" s="13" t="s">
        <v>344</v>
      </c>
      <c r="C43" s="14">
        <f t="shared" si="6"/>
        <v>96537</v>
      </c>
      <c r="D43" s="15" t="s">
        <v>354</v>
      </c>
      <c r="E43" s="16" t="s">
        <v>296</v>
      </c>
      <c r="F43" s="17">
        <v>37.700000000000003</v>
      </c>
      <c r="G43" s="17">
        <f t="shared" si="7"/>
        <v>115.35</v>
      </c>
      <c r="H43" s="17">
        <f t="shared" si="8"/>
        <v>142.05000000000001</v>
      </c>
      <c r="I43" s="17">
        <f t="shared" si="9"/>
        <v>5355.29</v>
      </c>
      <c r="J43" s="101">
        <f t="shared" si="10"/>
        <v>8.3828502589385605E-3</v>
      </c>
      <c r="K43" s="188" t="s">
        <v>192</v>
      </c>
      <c r="L43" s="187">
        <v>96537</v>
      </c>
      <c r="M43" s="150">
        <v>121.42</v>
      </c>
      <c r="N43" s="154"/>
      <c r="O43" s="154"/>
      <c r="P43" s="154"/>
      <c r="Q43" s="150">
        <v>253.39</v>
      </c>
      <c r="R43" s="150"/>
    </row>
    <row r="44" spans="1:18" s="1" customFormat="1" ht="31.5">
      <c r="A44" s="62"/>
      <c r="B44" s="13" t="s">
        <v>345</v>
      </c>
      <c r="C44" s="14">
        <f t="shared" si="6"/>
        <v>96543</v>
      </c>
      <c r="D44" s="15" t="s">
        <v>355</v>
      </c>
      <c r="E44" s="16" t="s">
        <v>360</v>
      </c>
      <c r="F44" s="17">
        <v>81.7</v>
      </c>
      <c r="G44" s="17">
        <f t="shared" si="7"/>
        <v>13</v>
      </c>
      <c r="H44" s="17">
        <f t="shared" si="8"/>
        <v>16.010000000000002</v>
      </c>
      <c r="I44" s="17">
        <f t="shared" si="9"/>
        <v>1308.02</v>
      </c>
      <c r="J44" s="101">
        <f t="shared" si="10"/>
        <v>2.0474961758741015E-3</v>
      </c>
      <c r="K44" s="188" t="s">
        <v>192</v>
      </c>
      <c r="L44" s="187">
        <v>96543</v>
      </c>
      <c r="M44" s="150">
        <v>13.68</v>
      </c>
      <c r="N44" s="154"/>
      <c r="O44" s="154"/>
      <c r="P44" s="154"/>
      <c r="Q44" s="150">
        <v>1323.1</v>
      </c>
      <c r="R44" s="150"/>
    </row>
    <row r="45" spans="1:18" s="1" customFormat="1" ht="31.5">
      <c r="A45" s="62"/>
      <c r="B45" s="13" t="s">
        <v>346</v>
      </c>
      <c r="C45" s="14">
        <f t="shared" si="6"/>
        <v>96546</v>
      </c>
      <c r="D45" s="15" t="s">
        <v>356</v>
      </c>
      <c r="E45" s="16" t="s">
        <v>360</v>
      </c>
      <c r="F45" s="17">
        <v>468.4</v>
      </c>
      <c r="G45" s="17">
        <f t="shared" si="7"/>
        <v>9.7899999999999991</v>
      </c>
      <c r="H45" s="17">
        <f t="shared" si="8"/>
        <v>12.06</v>
      </c>
      <c r="I45" s="17">
        <f t="shared" si="9"/>
        <v>5648.9</v>
      </c>
      <c r="J45" s="101">
        <f t="shared" si="10"/>
        <v>8.842449769801081E-3</v>
      </c>
      <c r="K45" s="188" t="s">
        <v>192</v>
      </c>
      <c r="L45" s="187">
        <v>96546</v>
      </c>
      <c r="M45" s="150">
        <v>10.31</v>
      </c>
      <c r="N45" s="154"/>
      <c r="O45" s="154"/>
      <c r="P45" s="154"/>
      <c r="Q45" s="150">
        <v>5934.6</v>
      </c>
      <c r="R45" s="150"/>
    </row>
    <row r="46" spans="1:18" s="1" customFormat="1" ht="31.5">
      <c r="A46" s="62"/>
      <c r="B46" s="13" t="s">
        <v>347</v>
      </c>
      <c r="C46" s="14">
        <f t="shared" si="6"/>
        <v>96545</v>
      </c>
      <c r="D46" s="15" t="s">
        <v>357</v>
      </c>
      <c r="E46" s="16" t="s">
        <v>360</v>
      </c>
      <c r="F46" s="17">
        <v>156.5</v>
      </c>
      <c r="G46" s="17">
        <f t="shared" si="7"/>
        <v>11.06</v>
      </c>
      <c r="H46" s="17">
        <f t="shared" si="8"/>
        <v>13.62</v>
      </c>
      <c r="I46" s="17">
        <f t="shared" si="9"/>
        <v>2131.5300000000002</v>
      </c>
      <c r="J46" s="101">
        <f t="shared" si="10"/>
        <v>3.3365694131289457E-3</v>
      </c>
      <c r="K46" s="188" t="s">
        <v>192</v>
      </c>
      <c r="L46" s="187">
        <v>96545</v>
      </c>
      <c r="M46" s="150">
        <v>11.64</v>
      </c>
      <c r="N46" s="154"/>
      <c r="O46" s="154"/>
      <c r="P46" s="154"/>
      <c r="Q46" s="150">
        <v>2688.2</v>
      </c>
      <c r="R46" s="150"/>
    </row>
    <row r="47" spans="1:18" s="1" customFormat="1" ht="31.5">
      <c r="A47" s="62"/>
      <c r="B47" s="13" t="s">
        <v>348</v>
      </c>
      <c r="C47" s="14">
        <f t="shared" si="6"/>
        <v>92874</v>
      </c>
      <c r="D47" s="15" t="s">
        <v>358</v>
      </c>
      <c r="E47" s="16" t="s">
        <v>308</v>
      </c>
      <c r="F47" s="17">
        <v>11.1</v>
      </c>
      <c r="G47" s="17">
        <f t="shared" si="7"/>
        <v>22.69</v>
      </c>
      <c r="H47" s="17">
        <f t="shared" si="8"/>
        <v>27.94</v>
      </c>
      <c r="I47" s="17">
        <f t="shared" si="9"/>
        <v>310.13</v>
      </c>
      <c r="J47" s="101">
        <f t="shared" si="10"/>
        <v>4.8545892954529368E-4</v>
      </c>
      <c r="K47" s="188" t="s">
        <v>192</v>
      </c>
      <c r="L47" s="187">
        <v>92874</v>
      </c>
      <c r="M47" s="150">
        <v>23.88</v>
      </c>
      <c r="N47" s="154"/>
      <c r="O47" s="154"/>
      <c r="P47" s="154"/>
      <c r="Q47" s="150">
        <v>143.76</v>
      </c>
      <c r="R47" s="150"/>
    </row>
    <row r="48" spans="1:18" s="1" customFormat="1">
      <c r="A48" s="62"/>
      <c r="B48" s="13" t="s">
        <v>349</v>
      </c>
      <c r="C48" s="14" t="str">
        <f t="shared" si="6"/>
        <v>IMP-PIN-005</v>
      </c>
      <c r="D48" s="15" t="s">
        <v>359</v>
      </c>
      <c r="E48" s="16" t="s">
        <v>296</v>
      </c>
      <c r="F48" s="17">
        <v>102.96</v>
      </c>
      <c r="G48" s="17">
        <f t="shared" si="7"/>
        <v>16.72</v>
      </c>
      <c r="H48" s="17">
        <f t="shared" si="8"/>
        <v>20.59</v>
      </c>
      <c r="I48" s="17">
        <f t="shared" si="9"/>
        <v>2119.9499999999998</v>
      </c>
      <c r="J48" s="101">
        <f t="shared" si="10"/>
        <v>3.3184427746091811E-3</v>
      </c>
      <c r="K48" s="188" t="s">
        <v>192</v>
      </c>
      <c r="L48" s="187" t="s">
        <v>163</v>
      </c>
      <c r="M48" s="150">
        <v>17.600000000000001</v>
      </c>
      <c r="N48" s="154"/>
      <c r="O48" s="154"/>
      <c r="P48" s="154"/>
      <c r="Q48" s="150">
        <v>609.02</v>
      </c>
      <c r="R48" s="150"/>
    </row>
    <row r="49" spans="1:18" s="1" customFormat="1">
      <c r="A49" s="62"/>
      <c r="B49" s="42"/>
      <c r="C49" s="37"/>
      <c r="D49" s="38" t="s">
        <v>21</v>
      </c>
      <c r="E49" s="37"/>
      <c r="F49" s="39"/>
      <c r="G49" s="40"/>
      <c r="H49" s="41"/>
      <c r="I49" s="18">
        <f>ROUND(SUM(I39:I48),2)</f>
        <v>43055.56</v>
      </c>
      <c r="J49" s="102">
        <f t="shared" si="10"/>
        <v>6.7396595197411299E-2</v>
      </c>
      <c r="K49" s="57"/>
      <c r="L49" s="187"/>
      <c r="M49" s="94"/>
      <c r="N49" s="154"/>
      <c r="O49" s="154"/>
      <c r="P49" s="154"/>
      <c r="Q49" s="150"/>
      <c r="R49" s="150"/>
    </row>
    <row r="50" spans="1:18" ht="9.9499999999999993" customHeight="1">
      <c r="B50" s="127"/>
      <c r="C50" s="128"/>
      <c r="D50" s="128"/>
      <c r="E50" s="128"/>
      <c r="F50" s="129"/>
      <c r="G50" s="129"/>
      <c r="H50" s="129"/>
      <c r="I50" s="129"/>
      <c r="J50" s="130"/>
      <c r="K50" s="189"/>
      <c r="L50" s="187"/>
      <c r="M50" s="94"/>
      <c r="Q50" s="150"/>
      <c r="R50" s="150"/>
    </row>
    <row r="51" spans="1:18">
      <c r="B51" s="12" t="s">
        <v>22</v>
      </c>
      <c r="C51" s="22"/>
      <c r="D51" s="23" t="s">
        <v>24</v>
      </c>
      <c r="E51" s="19"/>
      <c r="F51" s="20"/>
      <c r="G51" s="21"/>
      <c r="H51" s="20"/>
      <c r="I51" s="21"/>
      <c r="J51" s="8"/>
      <c r="K51" s="190"/>
      <c r="L51" s="187"/>
      <c r="M51" s="94"/>
      <c r="Q51" s="150"/>
      <c r="R51" s="150"/>
    </row>
    <row r="52" spans="1:18" s="3" customFormat="1" ht="47.25">
      <c r="A52" s="63"/>
      <c r="B52" s="13" t="s">
        <v>30</v>
      </c>
      <c r="C52" s="14">
        <f t="shared" ref="C52:C59" si="11">L52</f>
        <v>92448</v>
      </c>
      <c r="D52" s="15" t="s">
        <v>361</v>
      </c>
      <c r="E52" s="16" t="s">
        <v>296</v>
      </c>
      <c r="F52" s="17">
        <v>92.9</v>
      </c>
      <c r="G52" s="17">
        <f t="shared" ref="G52:G59" si="12">ROUND(M52*(1-$M$10),2)</f>
        <v>98.79</v>
      </c>
      <c r="H52" s="17">
        <f t="shared" ref="H52:H59" si="13">ROUND(G52*(IF(K52="O",(1+$F$10),(1+$F$19))),2)</f>
        <v>121.66</v>
      </c>
      <c r="I52" s="17">
        <f t="shared" ref="I52:I59" si="14">ROUND((F52*H52),2)</f>
        <v>11302.21</v>
      </c>
      <c r="J52" s="101">
        <f t="shared" ref="J52:J60" si="15">I52/$I$284</f>
        <v>1.7691802689504769E-2</v>
      </c>
      <c r="K52" s="188" t="s">
        <v>192</v>
      </c>
      <c r="L52" s="187">
        <v>92448</v>
      </c>
      <c r="M52" s="150">
        <v>103.99</v>
      </c>
      <c r="N52" s="154"/>
      <c r="O52" s="154"/>
      <c r="P52" s="154"/>
      <c r="Q52" s="150">
        <v>1776.3</v>
      </c>
      <c r="R52" s="150"/>
    </row>
    <row r="53" spans="1:18" s="3" customFormat="1" ht="47.25">
      <c r="A53" s="63"/>
      <c r="B53" s="13" t="s">
        <v>31</v>
      </c>
      <c r="C53" s="14">
        <f t="shared" si="11"/>
        <v>92411</v>
      </c>
      <c r="D53" s="15" t="s">
        <v>362</v>
      </c>
      <c r="E53" s="16" t="s">
        <v>296</v>
      </c>
      <c r="F53" s="17">
        <v>82.1</v>
      </c>
      <c r="G53" s="17">
        <f t="shared" si="12"/>
        <v>126.45</v>
      </c>
      <c r="H53" s="17">
        <f t="shared" si="13"/>
        <v>155.72</v>
      </c>
      <c r="I53" s="17">
        <f t="shared" si="14"/>
        <v>12784.61</v>
      </c>
      <c r="J53" s="101">
        <f t="shared" si="15"/>
        <v>2.0012262874452836E-2</v>
      </c>
      <c r="K53" s="188" t="s">
        <v>192</v>
      </c>
      <c r="L53" s="187">
        <v>92411</v>
      </c>
      <c r="M53" s="150">
        <v>133.1</v>
      </c>
      <c r="N53" s="154"/>
      <c r="O53" s="154"/>
      <c r="P53" s="154"/>
      <c r="Q53" s="150">
        <v>772.75</v>
      </c>
      <c r="R53" s="150"/>
    </row>
    <row r="54" spans="1:18" s="3" customFormat="1" ht="63">
      <c r="A54" s="63"/>
      <c r="B54" s="13" t="s">
        <v>32</v>
      </c>
      <c r="C54" s="14">
        <f t="shared" si="11"/>
        <v>92720</v>
      </c>
      <c r="D54" s="15" t="s">
        <v>363</v>
      </c>
      <c r="E54" s="16" t="s">
        <v>308</v>
      </c>
      <c r="F54" s="17">
        <v>18.8</v>
      </c>
      <c r="G54" s="17">
        <f t="shared" si="12"/>
        <v>352.38</v>
      </c>
      <c r="H54" s="17">
        <f t="shared" si="13"/>
        <v>433.96</v>
      </c>
      <c r="I54" s="17">
        <f t="shared" si="14"/>
        <v>8158.45</v>
      </c>
      <c r="J54" s="101">
        <f t="shared" si="15"/>
        <v>1.2770749052812697E-2</v>
      </c>
      <c r="K54" s="188" t="s">
        <v>192</v>
      </c>
      <c r="L54" s="187">
        <v>92720</v>
      </c>
      <c r="M54" s="150">
        <v>370.93</v>
      </c>
      <c r="N54" s="154"/>
      <c r="O54" s="154"/>
      <c r="P54" s="154"/>
      <c r="Q54" s="150">
        <v>116.53</v>
      </c>
      <c r="R54" s="150"/>
    </row>
    <row r="55" spans="1:18" s="3" customFormat="1" ht="63">
      <c r="A55" s="63"/>
      <c r="B55" s="13" t="s">
        <v>33</v>
      </c>
      <c r="C55" s="14">
        <f t="shared" si="11"/>
        <v>92775</v>
      </c>
      <c r="D55" s="15" t="s">
        <v>364</v>
      </c>
      <c r="E55" s="16" t="s">
        <v>360</v>
      </c>
      <c r="F55" s="17">
        <v>255</v>
      </c>
      <c r="G55" s="17">
        <f t="shared" si="12"/>
        <v>13.06</v>
      </c>
      <c r="H55" s="17">
        <f t="shared" si="13"/>
        <v>16.079999999999998</v>
      </c>
      <c r="I55" s="17">
        <f t="shared" si="14"/>
        <v>4100.3999999999996</v>
      </c>
      <c r="J55" s="101">
        <f t="shared" si="15"/>
        <v>6.4185206033196473E-3</v>
      </c>
      <c r="K55" s="188" t="s">
        <v>192</v>
      </c>
      <c r="L55" s="187">
        <v>92775</v>
      </c>
      <c r="M55" s="150">
        <v>13.75</v>
      </c>
      <c r="N55" s="154"/>
      <c r="O55" s="154"/>
      <c r="P55" s="154"/>
      <c r="Q55" s="150">
        <v>2141.4</v>
      </c>
      <c r="R55" s="150"/>
    </row>
    <row r="56" spans="1:18" s="3" customFormat="1" ht="63">
      <c r="A56" s="63"/>
      <c r="B56" s="13" t="s">
        <v>34</v>
      </c>
      <c r="C56" s="14">
        <f t="shared" si="11"/>
        <v>92777</v>
      </c>
      <c r="D56" s="15" t="s">
        <v>365</v>
      </c>
      <c r="E56" s="16" t="s">
        <v>360</v>
      </c>
      <c r="F56" s="17">
        <v>373.2</v>
      </c>
      <c r="G56" s="17">
        <f t="shared" si="12"/>
        <v>11.06</v>
      </c>
      <c r="H56" s="17">
        <f t="shared" si="13"/>
        <v>13.62</v>
      </c>
      <c r="I56" s="17">
        <f t="shared" si="14"/>
        <v>5082.9799999999996</v>
      </c>
      <c r="J56" s="101">
        <f t="shared" si="15"/>
        <v>7.956592492503585E-3</v>
      </c>
      <c r="K56" s="188" t="s">
        <v>192</v>
      </c>
      <c r="L56" s="187">
        <v>92777</v>
      </c>
      <c r="M56" s="150">
        <v>11.64</v>
      </c>
      <c r="N56" s="154"/>
      <c r="O56" s="154"/>
      <c r="P56" s="154"/>
      <c r="Q56" s="150">
        <v>2624.3</v>
      </c>
      <c r="R56" s="150"/>
    </row>
    <row r="57" spans="1:18" s="3" customFormat="1" ht="63">
      <c r="A57" s="63"/>
      <c r="B57" s="13" t="s">
        <v>155</v>
      </c>
      <c r="C57" s="14">
        <f t="shared" si="11"/>
        <v>92778</v>
      </c>
      <c r="D57" s="15" t="s">
        <v>366</v>
      </c>
      <c r="E57" s="16" t="s">
        <v>360</v>
      </c>
      <c r="F57" s="17">
        <v>279.8</v>
      </c>
      <c r="G57" s="17">
        <f t="shared" si="12"/>
        <v>9.75</v>
      </c>
      <c r="H57" s="17">
        <f t="shared" si="13"/>
        <v>12.01</v>
      </c>
      <c r="I57" s="17">
        <f t="shared" si="14"/>
        <v>3360.4</v>
      </c>
      <c r="J57" s="101">
        <f t="shared" si="15"/>
        <v>5.260168918982378E-3</v>
      </c>
      <c r="K57" s="188" t="s">
        <v>192</v>
      </c>
      <c r="L57" s="187">
        <v>92778</v>
      </c>
      <c r="M57" s="150">
        <v>10.26</v>
      </c>
      <c r="N57" s="154"/>
      <c r="O57" s="154"/>
      <c r="P57" s="154"/>
      <c r="Q57" s="150">
        <v>3533.8</v>
      </c>
      <c r="R57" s="150"/>
    </row>
    <row r="58" spans="1:18" s="3" customFormat="1" ht="63">
      <c r="A58" s="63"/>
      <c r="B58" s="13" t="s">
        <v>156</v>
      </c>
      <c r="C58" s="14" t="str">
        <f t="shared" si="11"/>
        <v>74141/001</v>
      </c>
      <c r="D58" s="15" t="s">
        <v>367</v>
      </c>
      <c r="E58" s="16" t="s">
        <v>296</v>
      </c>
      <c r="F58" s="17">
        <v>64.05</v>
      </c>
      <c r="G58" s="17">
        <f t="shared" si="12"/>
        <v>83.84</v>
      </c>
      <c r="H58" s="17">
        <f t="shared" si="13"/>
        <v>103.25</v>
      </c>
      <c r="I58" s="17">
        <f t="shared" si="14"/>
        <v>6613.16</v>
      </c>
      <c r="J58" s="101">
        <f t="shared" si="15"/>
        <v>1.0351844628097103E-2</v>
      </c>
      <c r="K58" s="188" t="s">
        <v>192</v>
      </c>
      <c r="L58" s="187" t="s">
        <v>369</v>
      </c>
      <c r="M58" s="150">
        <v>88.25</v>
      </c>
      <c r="N58" s="154"/>
      <c r="O58" s="154"/>
      <c r="P58" s="154"/>
      <c r="Q58" s="150">
        <v>1308.8399999999999</v>
      </c>
      <c r="R58" s="150"/>
    </row>
    <row r="59" spans="1:18" s="3" customFormat="1" ht="63">
      <c r="A59" s="63"/>
      <c r="B59" s="13" t="s">
        <v>105</v>
      </c>
      <c r="C59" s="14">
        <f t="shared" si="11"/>
        <v>92784</v>
      </c>
      <c r="D59" s="15" t="s">
        <v>368</v>
      </c>
      <c r="E59" s="16" t="s">
        <v>360</v>
      </c>
      <c r="F59" s="17">
        <v>252.2</v>
      </c>
      <c r="G59" s="17">
        <f t="shared" si="12"/>
        <v>11.42</v>
      </c>
      <c r="H59" s="17">
        <f t="shared" si="13"/>
        <v>14.06</v>
      </c>
      <c r="I59" s="17">
        <f t="shared" si="14"/>
        <v>3545.93</v>
      </c>
      <c r="J59" s="101">
        <f t="shared" si="15"/>
        <v>5.550586470327099E-3</v>
      </c>
      <c r="K59" s="188" t="s">
        <v>192</v>
      </c>
      <c r="L59" s="187">
        <v>92784</v>
      </c>
      <c r="M59" s="150">
        <v>12.02</v>
      </c>
      <c r="N59" s="154"/>
      <c r="O59" s="154"/>
      <c r="P59" s="154"/>
      <c r="Q59" s="150">
        <v>1773.74</v>
      </c>
      <c r="R59" s="150"/>
    </row>
    <row r="60" spans="1:18" s="3" customFormat="1">
      <c r="A60" s="63"/>
      <c r="B60" s="36"/>
      <c r="C60" s="37"/>
      <c r="D60" s="38" t="s">
        <v>35</v>
      </c>
      <c r="E60" s="37"/>
      <c r="F60" s="39"/>
      <c r="G60" s="40"/>
      <c r="H60" s="41"/>
      <c r="I60" s="18">
        <f>ROUND(SUM(I52:I59),2)</f>
        <v>54948.14</v>
      </c>
      <c r="J60" s="102">
        <f t="shared" si="15"/>
        <v>8.6012527730000107E-2</v>
      </c>
      <c r="K60" s="57"/>
      <c r="L60" s="187"/>
      <c r="M60" s="94"/>
      <c r="N60" s="154"/>
      <c r="O60" s="154"/>
      <c r="P60" s="154"/>
      <c r="Q60" s="150"/>
      <c r="R60" s="150"/>
    </row>
    <row r="61" spans="1:18" s="3" customFormat="1" ht="9.9499999999999993" customHeight="1">
      <c r="A61" s="63"/>
      <c r="B61" s="127"/>
      <c r="C61" s="128"/>
      <c r="D61" s="128"/>
      <c r="E61" s="128"/>
      <c r="F61" s="129"/>
      <c r="G61" s="129"/>
      <c r="H61" s="129"/>
      <c r="I61" s="129"/>
      <c r="J61" s="130"/>
      <c r="K61" s="189"/>
      <c r="L61" s="187"/>
      <c r="M61" s="94"/>
      <c r="N61" s="154"/>
      <c r="O61" s="154"/>
      <c r="P61" s="154"/>
      <c r="Q61" s="150"/>
      <c r="R61" s="150"/>
    </row>
    <row r="62" spans="1:18" s="95" customFormat="1">
      <c r="A62" s="61"/>
      <c r="B62" s="12" t="s">
        <v>25</v>
      </c>
      <c r="C62" s="22"/>
      <c r="D62" s="23" t="s">
        <v>47</v>
      </c>
      <c r="E62" s="19"/>
      <c r="F62" s="20"/>
      <c r="G62" s="21"/>
      <c r="H62" s="20"/>
      <c r="I62" s="21"/>
      <c r="J62" s="8"/>
      <c r="K62" s="190"/>
      <c r="L62" s="187"/>
      <c r="M62" s="94"/>
      <c r="N62" s="154"/>
      <c r="O62" s="154"/>
      <c r="P62" s="154"/>
      <c r="Q62" s="150"/>
      <c r="R62" s="150"/>
    </row>
    <row r="63" spans="1:18" s="95" customFormat="1" ht="78.75">
      <c r="A63" s="61"/>
      <c r="B63" s="13" t="s">
        <v>106</v>
      </c>
      <c r="C63" s="14">
        <f t="shared" ref="C63:C67" si="16">L63</f>
        <v>87491</v>
      </c>
      <c r="D63" s="15" t="s">
        <v>370</v>
      </c>
      <c r="E63" s="16" t="s">
        <v>296</v>
      </c>
      <c r="F63" s="17">
        <v>340.45</v>
      </c>
      <c r="G63" s="17">
        <f t="shared" ref="G63:G67" si="17">ROUND(M63*(1-$M$10),2)</f>
        <v>52.63</v>
      </c>
      <c r="H63" s="17">
        <f t="shared" ref="H63:H67" si="18">ROUND(G63*(IF(K63="O",(1+$F$10),(1+$F$19))),2)</f>
        <v>64.81</v>
      </c>
      <c r="I63" s="17">
        <f t="shared" ref="I63:I67" si="19">ROUND((F63*H63),2)</f>
        <v>22064.560000000001</v>
      </c>
      <c r="J63" s="101">
        <f t="shared" ref="J63:J68" si="20">I63/$I$284</f>
        <v>3.4538540865082082E-2</v>
      </c>
      <c r="K63" s="188" t="s">
        <v>192</v>
      </c>
      <c r="L63" s="187">
        <v>87491</v>
      </c>
      <c r="M63" s="150">
        <v>55.4</v>
      </c>
      <c r="N63" s="154"/>
      <c r="O63" s="154"/>
      <c r="P63" s="154"/>
      <c r="Q63" s="150">
        <v>947.25</v>
      </c>
      <c r="R63" s="150"/>
    </row>
    <row r="64" spans="1:18" s="95" customFormat="1" ht="78.75">
      <c r="A64" s="61"/>
      <c r="B64" s="13" t="s">
        <v>107</v>
      </c>
      <c r="C64" s="14">
        <f t="shared" si="16"/>
        <v>87505</v>
      </c>
      <c r="D64" s="15" t="s">
        <v>371</v>
      </c>
      <c r="E64" s="16" t="s">
        <v>296</v>
      </c>
      <c r="F64" s="17">
        <v>108</v>
      </c>
      <c r="G64" s="17">
        <f t="shared" si="17"/>
        <v>54.4</v>
      </c>
      <c r="H64" s="17">
        <f t="shared" si="18"/>
        <v>66.989999999999995</v>
      </c>
      <c r="I64" s="17">
        <f t="shared" si="19"/>
        <v>7234.92</v>
      </c>
      <c r="J64" s="101">
        <f t="shared" si="20"/>
        <v>1.1325110497358645E-2</v>
      </c>
      <c r="K64" s="188" t="s">
        <v>192</v>
      </c>
      <c r="L64" s="187">
        <v>87505</v>
      </c>
      <c r="M64" s="150">
        <v>57.26</v>
      </c>
      <c r="N64" s="154"/>
      <c r="O64" s="154"/>
      <c r="P64" s="154"/>
      <c r="Q64" s="150">
        <v>471.52</v>
      </c>
      <c r="R64" s="150"/>
    </row>
    <row r="65" spans="1:18" s="95" customFormat="1" ht="31.5">
      <c r="A65" s="61"/>
      <c r="B65" s="13" t="s">
        <v>108</v>
      </c>
      <c r="C65" s="14">
        <f t="shared" si="16"/>
        <v>93192</v>
      </c>
      <c r="D65" s="15" t="s">
        <v>372</v>
      </c>
      <c r="E65" s="16" t="s">
        <v>298</v>
      </c>
      <c r="F65" s="17">
        <v>39.6</v>
      </c>
      <c r="G65" s="17">
        <f t="shared" si="17"/>
        <v>30.59</v>
      </c>
      <c r="H65" s="17">
        <f t="shared" si="18"/>
        <v>37.67</v>
      </c>
      <c r="I65" s="17">
        <f t="shared" si="19"/>
        <v>1491.73</v>
      </c>
      <c r="J65" s="101">
        <f t="shared" si="20"/>
        <v>2.3350648082113984E-3</v>
      </c>
      <c r="K65" s="188" t="s">
        <v>192</v>
      </c>
      <c r="L65" s="187">
        <v>93192</v>
      </c>
      <c r="M65" s="150">
        <v>32.200000000000003</v>
      </c>
      <c r="N65" s="154"/>
      <c r="O65" s="154"/>
      <c r="P65" s="154"/>
      <c r="Q65" s="150">
        <v>49.5</v>
      </c>
      <c r="R65" s="150"/>
    </row>
    <row r="66" spans="1:18" s="95" customFormat="1" ht="47.25">
      <c r="A66" s="61"/>
      <c r="B66" s="13" t="s">
        <v>109</v>
      </c>
      <c r="C66" s="14">
        <f t="shared" ref="C66" si="21">L66</f>
        <v>93193</v>
      </c>
      <c r="D66" s="15" t="s">
        <v>373</v>
      </c>
      <c r="E66" s="16" t="s">
        <v>298</v>
      </c>
      <c r="F66" s="17">
        <f t="shared" ref="F66" si="22">ROUND(Q66*$Q$10+R66*$R$10,2)</f>
        <v>4</v>
      </c>
      <c r="G66" s="17">
        <f t="shared" ref="G66" si="23">ROUND(M66*(1-$M$10),2)</f>
        <v>30.21</v>
      </c>
      <c r="H66" s="17">
        <f t="shared" ref="H66" si="24">ROUND(G66*(IF(K66="O",(1+$F$10),(1+$F$19))),2)</f>
        <v>37.200000000000003</v>
      </c>
      <c r="I66" s="17">
        <f t="shared" ref="I66" si="25">ROUND((F66*H66),2)</f>
        <v>148.80000000000001</v>
      </c>
      <c r="J66" s="101">
        <f t="shared" si="20"/>
        <v>2.3292260895862931E-4</v>
      </c>
      <c r="K66" s="188" t="s">
        <v>192</v>
      </c>
      <c r="L66" s="187">
        <v>93193</v>
      </c>
      <c r="M66" s="150">
        <v>31.8</v>
      </c>
      <c r="N66" s="193"/>
      <c r="O66" s="193"/>
      <c r="P66" s="193"/>
      <c r="Q66" s="150">
        <v>4</v>
      </c>
      <c r="R66" s="150"/>
    </row>
    <row r="67" spans="1:18" s="95" customFormat="1" ht="47.25">
      <c r="A67" s="61"/>
      <c r="B67" s="13" t="s">
        <v>110</v>
      </c>
      <c r="C67" s="14">
        <f t="shared" si="16"/>
        <v>93199</v>
      </c>
      <c r="D67" s="15" t="s">
        <v>374</v>
      </c>
      <c r="E67" s="16" t="s">
        <v>298</v>
      </c>
      <c r="F67" s="17">
        <v>43.6</v>
      </c>
      <c r="G67" s="17">
        <f t="shared" si="17"/>
        <v>24.32</v>
      </c>
      <c r="H67" s="17">
        <f t="shared" si="18"/>
        <v>29.95</v>
      </c>
      <c r="I67" s="17">
        <f t="shared" si="19"/>
        <v>1305.82</v>
      </c>
      <c r="J67" s="101">
        <f t="shared" si="20"/>
        <v>2.0440524276233688E-3</v>
      </c>
      <c r="K67" s="188" t="s">
        <v>192</v>
      </c>
      <c r="L67" s="187">
        <v>93199</v>
      </c>
      <c r="M67" s="150">
        <v>25.6</v>
      </c>
      <c r="N67" s="154"/>
      <c r="O67" s="154"/>
      <c r="P67" s="154"/>
      <c r="Q67" s="150">
        <v>155.15</v>
      </c>
      <c r="R67" s="150"/>
    </row>
    <row r="68" spans="1:18" s="95" customFormat="1">
      <c r="A68" s="61"/>
      <c r="B68" s="36"/>
      <c r="C68" s="37"/>
      <c r="D68" s="38" t="s">
        <v>36</v>
      </c>
      <c r="E68" s="37"/>
      <c r="F68" s="39"/>
      <c r="G68" s="40"/>
      <c r="H68" s="41"/>
      <c r="I68" s="18">
        <f>ROUND(SUM(I63:I67),2)</f>
        <v>32245.83</v>
      </c>
      <c r="J68" s="102">
        <f t="shared" si="20"/>
        <v>5.0475691207234122E-2</v>
      </c>
      <c r="K68" s="57"/>
      <c r="L68" s="187"/>
      <c r="M68" s="94"/>
      <c r="N68" s="154"/>
      <c r="O68" s="154"/>
      <c r="P68" s="154"/>
      <c r="Q68" s="150"/>
      <c r="R68" s="150"/>
    </row>
    <row r="69" spans="1:18" s="95" customFormat="1" ht="9.9499999999999993" customHeight="1">
      <c r="A69" s="61"/>
      <c r="B69" s="127"/>
      <c r="C69" s="128"/>
      <c r="D69" s="128"/>
      <c r="E69" s="128"/>
      <c r="F69" s="129"/>
      <c r="G69" s="129"/>
      <c r="H69" s="129"/>
      <c r="I69" s="129"/>
      <c r="J69" s="130"/>
      <c r="K69" s="189"/>
      <c r="L69" s="187"/>
      <c r="M69" s="94"/>
      <c r="N69" s="154"/>
      <c r="O69" s="154"/>
      <c r="P69" s="154"/>
      <c r="Q69" s="150"/>
      <c r="R69" s="150"/>
    </row>
    <row r="70" spans="1:18" s="95" customFormat="1">
      <c r="A70" s="61"/>
      <c r="B70" s="12" t="s">
        <v>38</v>
      </c>
      <c r="C70" s="22"/>
      <c r="D70" s="23" t="s">
        <v>55</v>
      </c>
      <c r="E70" s="19"/>
      <c r="F70" s="20"/>
      <c r="G70" s="21"/>
      <c r="H70" s="20"/>
      <c r="I70" s="21"/>
      <c r="J70" s="8"/>
      <c r="K70" s="190"/>
      <c r="L70" s="187"/>
      <c r="M70" s="94"/>
      <c r="N70" s="154"/>
      <c r="O70" s="154"/>
      <c r="P70" s="154"/>
      <c r="Q70" s="150"/>
      <c r="R70" s="150"/>
    </row>
    <row r="71" spans="1:18" s="95" customFormat="1" ht="47.25">
      <c r="A71" s="61"/>
      <c r="B71" s="13" t="s">
        <v>39</v>
      </c>
      <c r="C71" s="14" t="str">
        <f t="shared" ref="C71:C78" si="26">L71</f>
        <v>ED-50727
REV-CHA-005</v>
      </c>
      <c r="D71" s="15" t="s">
        <v>378</v>
      </c>
      <c r="E71" s="16" t="s">
        <v>296</v>
      </c>
      <c r="F71" s="17">
        <v>896.9</v>
      </c>
      <c r="G71" s="17">
        <f t="shared" ref="G71:G78" si="27">ROUND(M71*(1-$M$10),2)</f>
        <v>5.64</v>
      </c>
      <c r="H71" s="17">
        <f t="shared" ref="H71:H78" si="28">ROUND(G71*(IF(K71="O",(1+$F$10),(1+$F$19))),2)</f>
        <v>6.95</v>
      </c>
      <c r="I71" s="17">
        <f t="shared" ref="I71:I78" si="29">ROUND((F71*H71),2)</f>
        <v>6233.46</v>
      </c>
      <c r="J71" s="101">
        <f t="shared" ref="J71:J79" si="30">I71/$I$284</f>
        <v>9.7574849868229657E-3</v>
      </c>
      <c r="K71" s="188" t="s">
        <v>192</v>
      </c>
      <c r="L71" s="187" t="s">
        <v>375</v>
      </c>
      <c r="M71" s="150">
        <v>5.94</v>
      </c>
      <c r="N71" s="154"/>
      <c r="O71" s="154"/>
      <c r="P71" s="154"/>
      <c r="Q71" s="150">
        <f>2155.68+943.04</f>
        <v>3098.72</v>
      </c>
      <c r="R71" s="150"/>
    </row>
    <row r="72" spans="1:18" s="95" customFormat="1" ht="47.25">
      <c r="A72" s="61"/>
      <c r="B72" s="13" t="s">
        <v>40</v>
      </c>
      <c r="C72" s="14" t="str">
        <f>L72</f>
        <v>ED-50728
REV-CHA-006</v>
      </c>
      <c r="D72" s="15" t="s">
        <v>379</v>
      </c>
      <c r="E72" s="16" t="s">
        <v>296</v>
      </c>
      <c r="F72" s="17">
        <v>80.05</v>
      </c>
      <c r="G72" s="17">
        <f>ROUND(M72*(1-$M$10),2)</f>
        <v>7.85</v>
      </c>
      <c r="H72" s="17">
        <f>ROUND(G72*(IF(K72="O",(1+$F$10),(1+$F$19))),2)</f>
        <v>9.67</v>
      </c>
      <c r="I72" s="17">
        <f>ROUND((F72*H72),2)</f>
        <v>774.08</v>
      </c>
      <c r="J72" s="101">
        <f t="shared" si="30"/>
        <v>1.2116984754213425E-3</v>
      </c>
      <c r="K72" s="188" t="s">
        <v>192</v>
      </c>
      <c r="L72" s="187" t="s">
        <v>376</v>
      </c>
      <c r="M72" s="150">
        <v>8.26</v>
      </c>
      <c r="N72" s="154"/>
      <c r="O72" s="154"/>
      <c r="P72" s="154"/>
      <c r="Q72" s="150">
        <f>1557.6+184</f>
        <v>1741.6</v>
      </c>
      <c r="R72" s="150"/>
    </row>
    <row r="73" spans="1:18" s="95" customFormat="1" ht="31.5">
      <c r="A73" s="61"/>
      <c r="B73" s="13" t="s">
        <v>41</v>
      </c>
      <c r="C73" s="14" t="str">
        <f t="shared" si="26"/>
        <v>ED-50759
REV-REB-005</v>
      </c>
      <c r="D73" s="15" t="s">
        <v>380</v>
      </c>
      <c r="E73" s="16" t="s">
        <v>296</v>
      </c>
      <c r="F73" s="17">
        <v>348.8</v>
      </c>
      <c r="G73" s="17">
        <f t="shared" si="27"/>
        <v>19.170000000000002</v>
      </c>
      <c r="H73" s="17">
        <f t="shared" si="28"/>
        <v>23.61</v>
      </c>
      <c r="I73" s="17">
        <f t="shared" si="29"/>
        <v>8235.17</v>
      </c>
      <c r="J73" s="101">
        <f t="shared" si="30"/>
        <v>1.289084194635642E-2</v>
      </c>
      <c r="K73" s="188" t="s">
        <v>192</v>
      </c>
      <c r="L73" s="187" t="s">
        <v>377</v>
      </c>
      <c r="M73" s="150">
        <v>20.18</v>
      </c>
      <c r="N73" s="154"/>
      <c r="O73" s="154"/>
      <c r="P73" s="154"/>
      <c r="Q73" s="150">
        <f>Q71+Q72-Q74-Q75-Q76</f>
        <v>4321.5099999999993</v>
      </c>
      <c r="R73" s="150"/>
    </row>
    <row r="74" spans="1:18" s="95" customFormat="1" ht="94.5">
      <c r="A74" s="61"/>
      <c r="B74" s="13" t="s">
        <v>42</v>
      </c>
      <c r="C74" s="14">
        <f t="shared" si="26"/>
        <v>87527</v>
      </c>
      <c r="D74" s="15" t="s">
        <v>381</v>
      </c>
      <c r="E74" s="16" t="s">
        <v>296</v>
      </c>
      <c r="F74" s="17">
        <v>197.32</v>
      </c>
      <c r="G74" s="17">
        <f t="shared" si="27"/>
        <v>26.28</v>
      </c>
      <c r="H74" s="17">
        <f t="shared" si="28"/>
        <v>32.36</v>
      </c>
      <c r="I74" s="17">
        <f t="shared" si="29"/>
        <v>6385.28</v>
      </c>
      <c r="J74" s="101">
        <f t="shared" si="30"/>
        <v>9.9951349229257819E-3</v>
      </c>
      <c r="K74" s="188" t="s">
        <v>192</v>
      </c>
      <c r="L74" s="187">
        <v>87527</v>
      </c>
      <c r="M74" s="150">
        <v>27.66</v>
      </c>
      <c r="N74" s="193"/>
      <c r="O74" s="193"/>
      <c r="P74" s="193"/>
      <c r="Q74" s="150">
        <v>39.93</v>
      </c>
      <c r="R74" s="150"/>
    </row>
    <row r="75" spans="1:18" s="95" customFormat="1" ht="94.5">
      <c r="A75" s="61"/>
      <c r="B75" s="13" t="s">
        <v>43</v>
      </c>
      <c r="C75" s="14">
        <f t="shared" si="26"/>
        <v>87531</v>
      </c>
      <c r="D75" s="15" t="s">
        <v>195</v>
      </c>
      <c r="E75" s="16" t="s">
        <v>296</v>
      </c>
      <c r="F75" s="17">
        <v>24.66</v>
      </c>
      <c r="G75" s="17">
        <f t="shared" si="27"/>
        <v>22.9</v>
      </c>
      <c r="H75" s="17">
        <f t="shared" si="28"/>
        <v>28.2</v>
      </c>
      <c r="I75" s="17">
        <f t="shared" si="29"/>
        <v>695.41</v>
      </c>
      <c r="J75" s="101">
        <f t="shared" si="30"/>
        <v>1.0885531686553791E-3</v>
      </c>
      <c r="K75" s="188" t="s">
        <v>192</v>
      </c>
      <c r="L75" s="187">
        <v>87531</v>
      </c>
      <c r="M75" s="150">
        <v>24.1</v>
      </c>
      <c r="N75" s="154"/>
      <c r="O75" s="154"/>
      <c r="P75" s="154"/>
      <c r="Q75" s="150">
        <v>218.91</v>
      </c>
      <c r="R75" s="150"/>
    </row>
    <row r="76" spans="1:18" s="95" customFormat="1" ht="94.5">
      <c r="A76" s="61"/>
      <c r="B76" s="13" t="s">
        <v>44</v>
      </c>
      <c r="C76" s="14">
        <f t="shared" ref="C76" si="31">L76</f>
        <v>87535</v>
      </c>
      <c r="D76" s="15" t="s">
        <v>382</v>
      </c>
      <c r="E76" s="16" t="s">
        <v>296</v>
      </c>
      <c r="F76" s="17">
        <v>49.32</v>
      </c>
      <c r="G76" s="17">
        <f t="shared" ref="G76" si="32">ROUND(M76*(1-$M$10),2)</f>
        <v>20.399999999999999</v>
      </c>
      <c r="H76" s="17">
        <f t="shared" ref="H76" si="33">ROUND(G76*(IF(K76="O",(1+$F$10),(1+$F$19))),2)</f>
        <v>25.12</v>
      </c>
      <c r="I76" s="17">
        <f t="shared" ref="I76" si="34">ROUND((F76*H76),2)</f>
        <v>1238.92</v>
      </c>
      <c r="J76" s="101">
        <f t="shared" si="30"/>
        <v>1.9393311739988241E-3</v>
      </c>
      <c r="K76" s="188" t="s">
        <v>192</v>
      </c>
      <c r="L76" s="187">
        <v>87535</v>
      </c>
      <c r="M76" s="150">
        <v>21.47</v>
      </c>
      <c r="N76" s="193"/>
      <c r="O76" s="193"/>
      <c r="P76" s="193"/>
      <c r="Q76" s="150">
        <v>259.97000000000003</v>
      </c>
      <c r="R76" s="150"/>
    </row>
    <row r="77" spans="1:18" s="95" customFormat="1" ht="63">
      <c r="A77" s="61"/>
      <c r="B77" s="13" t="s">
        <v>187</v>
      </c>
      <c r="C77" s="14">
        <f t="shared" si="26"/>
        <v>87272</v>
      </c>
      <c r="D77" s="15" t="s">
        <v>383</v>
      </c>
      <c r="E77" s="16" t="s">
        <v>296</v>
      </c>
      <c r="F77" s="17">
        <v>197.32</v>
      </c>
      <c r="G77" s="17">
        <f t="shared" si="27"/>
        <v>49.36</v>
      </c>
      <c r="H77" s="17">
        <f t="shared" si="28"/>
        <v>60.79</v>
      </c>
      <c r="I77" s="17">
        <f t="shared" si="29"/>
        <v>11995.08</v>
      </c>
      <c r="J77" s="101">
        <f t="shared" si="30"/>
        <v>1.8776379894270667E-2</v>
      </c>
      <c r="K77" s="188" t="s">
        <v>192</v>
      </c>
      <c r="L77" s="187">
        <v>87272</v>
      </c>
      <c r="M77" s="150">
        <v>51.96</v>
      </c>
      <c r="N77" s="154"/>
      <c r="O77" s="154"/>
      <c r="P77" s="154"/>
      <c r="Q77" s="150">
        <f>Q74</f>
        <v>39.93</v>
      </c>
      <c r="R77" s="150">
        <f>R74</f>
        <v>0</v>
      </c>
    </row>
    <row r="78" spans="1:18" s="95" customFormat="1" ht="63">
      <c r="A78" s="61"/>
      <c r="B78" s="13" t="s">
        <v>188</v>
      </c>
      <c r="C78" s="14">
        <f t="shared" si="26"/>
        <v>87273</v>
      </c>
      <c r="D78" s="15" t="s">
        <v>384</v>
      </c>
      <c r="E78" s="16" t="s">
        <v>296</v>
      </c>
      <c r="F78" s="17">
        <v>73.98</v>
      </c>
      <c r="G78" s="17">
        <f t="shared" si="27"/>
        <v>41.53</v>
      </c>
      <c r="H78" s="17">
        <f t="shared" si="28"/>
        <v>51.14</v>
      </c>
      <c r="I78" s="17">
        <f t="shared" si="29"/>
        <v>3783.34</v>
      </c>
      <c r="J78" s="101">
        <f t="shared" si="30"/>
        <v>5.9222138667845469E-3</v>
      </c>
      <c r="K78" s="188" t="s">
        <v>192</v>
      </c>
      <c r="L78" s="187">
        <v>87273</v>
      </c>
      <c r="M78" s="150">
        <v>43.72</v>
      </c>
      <c r="N78" s="154"/>
      <c r="O78" s="154"/>
      <c r="P78" s="154"/>
      <c r="Q78" s="150">
        <f>Q75+Q76</f>
        <v>478.88</v>
      </c>
      <c r="R78" s="150">
        <f>R75+R76</f>
        <v>0</v>
      </c>
    </row>
    <row r="79" spans="1:18" s="95" customFormat="1">
      <c r="A79" s="61"/>
      <c r="B79" s="36"/>
      <c r="C79" s="37"/>
      <c r="D79" s="38" t="s">
        <v>45</v>
      </c>
      <c r="E79" s="37"/>
      <c r="F79" s="39"/>
      <c r="G79" s="40"/>
      <c r="H79" s="41"/>
      <c r="I79" s="18">
        <f>ROUND(SUM(I71:I78),2)</f>
        <v>39340.74</v>
      </c>
      <c r="J79" s="102">
        <f t="shared" si="30"/>
        <v>6.1581638435235925E-2</v>
      </c>
      <c r="K79" s="57"/>
      <c r="L79" s="187"/>
      <c r="M79" s="94"/>
      <c r="N79" s="154"/>
      <c r="O79" s="154"/>
      <c r="P79" s="154"/>
      <c r="Q79" s="150"/>
      <c r="R79" s="150"/>
    </row>
    <row r="80" spans="1:18" s="95" customFormat="1" ht="9.9499999999999993" customHeight="1">
      <c r="A80" s="61"/>
      <c r="B80" s="127"/>
      <c r="C80" s="128"/>
      <c r="D80" s="128"/>
      <c r="E80" s="128"/>
      <c r="F80" s="129"/>
      <c r="G80" s="129"/>
      <c r="H80" s="129"/>
      <c r="I80" s="129"/>
      <c r="J80" s="130"/>
      <c r="K80" s="189"/>
      <c r="L80" s="187"/>
      <c r="M80" s="94"/>
      <c r="N80" s="154"/>
      <c r="O80" s="154"/>
      <c r="P80" s="154"/>
      <c r="Q80" s="150"/>
      <c r="R80" s="150"/>
    </row>
    <row r="81" spans="1:18" s="95" customFormat="1">
      <c r="A81" s="61"/>
      <c r="B81" s="12" t="s">
        <v>46</v>
      </c>
      <c r="C81" s="22"/>
      <c r="D81" s="23" t="s">
        <v>59</v>
      </c>
      <c r="E81" s="19"/>
      <c r="F81" s="20"/>
      <c r="G81" s="21"/>
      <c r="H81" s="20"/>
      <c r="I81" s="21"/>
      <c r="J81" s="8"/>
      <c r="K81" s="190"/>
      <c r="L81" s="187"/>
      <c r="M81" s="94"/>
      <c r="N81" s="154"/>
      <c r="O81" s="154"/>
      <c r="P81" s="154"/>
      <c r="Q81" s="150"/>
      <c r="R81" s="150"/>
    </row>
    <row r="82" spans="1:18" s="95" customFormat="1" ht="31.5">
      <c r="A82" s="62"/>
      <c r="B82" s="13" t="s">
        <v>48</v>
      </c>
      <c r="C82" s="14" t="str">
        <f t="shared" ref="C82:C85" si="35">L82</f>
        <v>ED-51123
TER-REG-010</v>
      </c>
      <c r="D82" s="15" t="s">
        <v>26</v>
      </c>
      <c r="E82" s="16" t="s">
        <v>296</v>
      </c>
      <c r="F82" s="17">
        <v>768.05</v>
      </c>
      <c r="G82" s="17">
        <f t="shared" ref="G82:G85" si="36">ROUND(M82*(1-$M$10),2)</f>
        <v>2.2000000000000002</v>
      </c>
      <c r="H82" s="17">
        <f t="shared" ref="H82:H85" si="37">ROUND(G82*(IF(K82="O",(1+$F$10),(1+$F$19))),2)</f>
        <v>2.71</v>
      </c>
      <c r="I82" s="17">
        <f t="shared" ref="I82:I85" si="38">ROUND((F82*H82),2)</f>
        <v>2081.42</v>
      </c>
      <c r="J82" s="101">
        <f t="shared" ref="J82:J92" si="39">I82/$I$284</f>
        <v>3.258130220017945E-3</v>
      </c>
      <c r="K82" s="188" t="s">
        <v>192</v>
      </c>
      <c r="L82" s="187" t="s">
        <v>312</v>
      </c>
      <c r="M82" s="150">
        <v>2.3199999999999998</v>
      </c>
      <c r="N82" s="154"/>
      <c r="O82" s="154"/>
      <c r="P82" s="154"/>
      <c r="Q82" s="150" t="e">
        <f>Q85+Q86+Q87+#REF!+Q89+Q91/0.06</f>
        <v>#REF!</v>
      </c>
      <c r="R82" s="150" t="e">
        <f>R85+R86+R87+#REF!+R89+R91/0.06</f>
        <v>#REF!</v>
      </c>
    </row>
    <row r="83" spans="1:18" s="95" customFormat="1" ht="31.5">
      <c r="A83" s="62"/>
      <c r="B83" s="13" t="s">
        <v>49</v>
      </c>
      <c r="C83" s="14">
        <f t="shared" si="35"/>
        <v>95241</v>
      </c>
      <c r="D83" s="15" t="s">
        <v>304</v>
      </c>
      <c r="E83" s="16" t="s">
        <v>296</v>
      </c>
      <c r="F83" s="17">
        <v>768.05</v>
      </c>
      <c r="G83" s="17">
        <f t="shared" si="36"/>
        <v>19.829999999999998</v>
      </c>
      <c r="H83" s="17">
        <f t="shared" si="37"/>
        <v>24.42</v>
      </c>
      <c r="I83" s="17">
        <f t="shared" si="38"/>
        <v>18755.78</v>
      </c>
      <c r="J83" s="101">
        <f t="shared" si="39"/>
        <v>2.9359174802782793E-2</v>
      </c>
      <c r="K83" s="188" t="s">
        <v>192</v>
      </c>
      <c r="L83" s="187">
        <v>95241</v>
      </c>
      <c r="M83" s="150">
        <v>20.87</v>
      </c>
      <c r="N83" s="154"/>
      <c r="O83" s="154"/>
      <c r="P83" s="154"/>
      <c r="Q83" s="150" t="e">
        <f>Q85+Q86+Q87+#REF!</f>
        <v>#REF!</v>
      </c>
      <c r="R83" s="150" t="e">
        <f>R85+R86+R87+#REF!</f>
        <v>#REF!</v>
      </c>
    </row>
    <row r="84" spans="1:18" s="95" customFormat="1" ht="63">
      <c r="A84" s="61"/>
      <c r="B84" s="13" t="s">
        <v>50</v>
      </c>
      <c r="C84" s="14">
        <f t="shared" si="35"/>
        <v>87620</v>
      </c>
      <c r="D84" s="15" t="s">
        <v>305</v>
      </c>
      <c r="E84" s="16" t="s">
        <v>296</v>
      </c>
      <c r="F84" s="17">
        <v>80.05</v>
      </c>
      <c r="G84" s="17">
        <f t="shared" si="36"/>
        <v>23.48</v>
      </c>
      <c r="H84" s="17">
        <f t="shared" si="37"/>
        <v>28.92</v>
      </c>
      <c r="I84" s="17">
        <f t="shared" si="38"/>
        <v>2315.0500000000002</v>
      </c>
      <c r="J84" s="101">
        <f t="shared" si="39"/>
        <v>3.6238406308445885E-3</v>
      </c>
      <c r="K84" s="188" t="s">
        <v>192</v>
      </c>
      <c r="L84" s="187">
        <v>87620</v>
      </c>
      <c r="M84" s="150">
        <v>24.72</v>
      </c>
      <c r="N84" s="154"/>
      <c r="O84" s="154"/>
      <c r="P84" s="154"/>
      <c r="Q84" s="150" t="e">
        <f>Q83</f>
        <v>#REF!</v>
      </c>
      <c r="R84" s="150" t="e">
        <f>R83</f>
        <v>#REF!</v>
      </c>
    </row>
    <row r="85" spans="1:18" s="95" customFormat="1" ht="47.25">
      <c r="A85" s="61"/>
      <c r="B85" s="13" t="s">
        <v>51</v>
      </c>
      <c r="C85" s="14">
        <f t="shared" si="35"/>
        <v>87249</v>
      </c>
      <c r="D85" s="15" t="s">
        <v>314</v>
      </c>
      <c r="E85" s="16" t="s">
        <v>296</v>
      </c>
      <c r="F85" s="17">
        <v>38.44</v>
      </c>
      <c r="G85" s="17">
        <f t="shared" si="36"/>
        <v>52.27</v>
      </c>
      <c r="H85" s="17">
        <f t="shared" si="37"/>
        <v>64.37</v>
      </c>
      <c r="I85" s="17">
        <f t="shared" si="38"/>
        <v>2474.38</v>
      </c>
      <c r="J85" s="101">
        <f t="shared" si="39"/>
        <v>3.8732462712033145E-3</v>
      </c>
      <c r="K85" s="188" t="s">
        <v>192</v>
      </c>
      <c r="L85" s="187">
        <v>87249</v>
      </c>
      <c r="M85" s="150">
        <v>55.02</v>
      </c>
      <c r="N85" s="154"/>
      <c r="O85" s="154"/>
      <c r="P85" s="154"/>
      <c r="Q85" s="150">
        <v>10.64</v>
      </c>
      <c r="R85" s="150"/>
    </row>
    <row r="86" spans="1:18" s="95" customFormat="1" ht="47.25">
      <c r="A86" s="61"/>
      <c r="B86" s="13" t="s">
        <v>52</v>
      </c>
      <c r="C86" s="14">
        <f t="shared" ref="C86" si="40">L86</f>
        <v>87250</v>
      </c>
      <c r="D86" s="15" t="s">
        <v>313</v>
      </c>
      <c r="E86" s="16" t="s">
        <v>296</v>
      </c>
      <c r="F86" s="17">
        <v>21.13</v>
      </c>
      <c r="G86" s="17">
        <f t="shared" ref="G86" si="41">ROUND(M86*(1-$M$10),2)</f>
        <v>43.72</v>
      </c>
      <c r="H86" s="17">
        <f t="shared" ref="H86" si="42">ROUND(G86*(IF(K86="O",(1+$F$10),(1+$F$19))),2)</f>
        <v>53.84</v>
      </c>
      <c r="I86" s="17">
        <f t="shared" ref="I86" si="43">ROUND((F86*H86),2)</f>
        <v>1137.6400000000001</v>
      </c>
      <c r="J86" s="101">
        <f t="shared" si="39"/>
        <v>1.7807935272560152E-3</v>
      </c>
      <c r="K86" s="188" t="s">
        <v>192</v>
      </c>
      <c r="L86" s="187">
        <v>87250</v>
      </c>
      <c r="M86" s="150">
        <v>46.02</v>
      </c>
      <c r="N86" s="193"/>
      <c r="O86" s="193"/>
      <c r="P86" s="193"/>
      <c r="Q86" s="150">
        <v>46.02</v>
      </c>
      <c r="R86" s="150"/>
    </row>
    <row r="87" spans="1:18" s="95" customFormat="1" ht="47.25">
      <c r="A87" s="61"/>
      <c r="B87" s="13" t="s">
        <v>158</v>
      </c>
      <c r="C87" s="14">
        <f t="shared" ref="C87" si="44">L87</f>
        <v>87251</v>
      </c>
      <c r="D87" s="15" t="s">
        <v>315</v>
      </c>
      <c r="E87" s="16" t="s">
        <v>296</v>
      </c>
      <c r="F87" s="17">
        <v>11.55</v>
      </c>
      <c r="G87" s="17">
        <f t="shared" ref="G87" si="45">ROUND(M87*(1-$M$10),2)</f>
        <v>38.159999999999997</v>
      </c>
      <c r="H87" s="17">
        <f t="shared" ref="H87" si="46">ROUND(G87*(IF(K87="O",(1+$F$10),(1+$F$19))),2)</f>
        <v>46.99</v>
      </c>
      <c r="I87" s="17">
        <f t="shared" ref="I87" si="47">ROUND((F87*H87),2)</f>
        <v>542.73</v>
      </c>
      <c r="J87" s="101">
        <f t="shared" si="39"/>
        <v>8.495570400545489E-4</v>
      </c>
      <c r="K87" s="188" t="s">
        <v>192</v>
      </c>
      <c r="L87" s="187">
        <v>87251</v>
      </c>
      <c r="M87" s="150">
        <v>40.17</v>
      </c>
      <c r="N87" s="193"/>
      <c r="O87" s="193"/>
      <c r="P87" s="193"/>
      <c r="Q87" s="150">
        <v>144.53</v>
      </c>
      <c r="R87" s="150"/>
    </row>
    <row r="88" spans="1:18" s="95" customFormat="1" ht="31.5">
      <c r="A88" s="61"/>
      <c r="B88" s="13" t="s">
        <v>385</v>
      </c>
      <c r="C88" s="14" t="str">
        <f>L88</f>
        <v>ED-51002
SOL-GRA-005</v>
      </c>
      <c r="D88" s="15" t="s">
        <v>307</v>
      </c>
      <c r="E88" s="16" t="s">
        <v>296</v>
      </c>
      <c r="F88" s="17">
        <v>0.78</v>
      </c>
      <c r="G88" s="17">
        <f>ROUND(M88*(1-$M$10),2)</f>
        <v>191.95</v>
      </c>
      <c r="H88" s="17">
        <f>ROUND(G88*(IF(K88="O",(1+$F$10),(1+$F$19))),2)</f>
        <v>236.39</v>
      </c>
      <c r="I88" s="17">
        <f>ROUND((F88*H88),2)</f>
        <v>184.38</v>
      </c>
      <c r="J88" s="101">
        <f t="shared" si="39"/>
        <v>2.8861741021365636E-4</v>
      </c>
      <c r="K88" s="188" t="s">
        <v>192</v>
      </c>
      <c r="L88" s="187" t="s">
        <v>306</v>
      </c>
      <c r="M88" s="150">
        <v>202.05</v>
      </c>
      <c r="N88" s="154"/>
      <c r="O88" s="154"/>
      <c r="P88" s="154"/>
      <c r="Q88" s="150">
        <v>5.56</v>
      </c>
      <c r="R88" s="150"/>
    </row>
    <row r="89" spans="1:18" s="95" customFormat="1" ht="63">
      <c r="A89" s="61"/>
      <c r="B89" s="13" t="s">
        <v>386</v>
      </c>
      <c r="C89" s="14">
        <f>L89</f>
        <v>94997</v>
      </c>
      <c r="D89" s="15" t="s">
        <v>310</v>
      </c>
      <c r="E89" s="16" t="s">
        <v>296</v>
      </c>
      <c r="F89" s="17">
        <f>ROUND(Q89*$Q$10+R89*$R$10,2)</f>
        <v>704</v>
      </c>
      <c r="G89" s="17">
        <f>ROUND(M89*(1-$M$10),2)</f>
        <v>84.92</v>
      </c>
      <c r="H89" s="17">
        <f>ROUND(G89*(IF(K89="O",(1+$F$10),(1+$F$19))),2)</f>
        <v>104.58</v>
      </c>
      <c r="I89" s="17">
        <f>ROUND((F89*H89),2)</f>
        <v>73624.320000000007</v>
      </c>
      <c r="J89" s="101">
        <f t="shared" si="39"/>
        <v>0.11524710145971097</v>
      </c>
      <c r="K89" s="188" t="s">
        <v>192</v>
      </c>
      <c r="L89" s="187">
        <v>94997</v>
      </c>
      <c r="M89" s="150">
        <v>89.39</v>
      </c>
      <c r="N89" s="154"/>
      <c r="O89" s="154"/>
      <c r="P89" s="154"/>
      <c r="Q89" s="150"/>
      <c r="R89" s="150">
        <v>704</v>
      </c>
    </row>
    <row r="90" spans="1:18" s="95" customFormat="1" ht="31.5">
      <c r="A90" s="61"/>
      <c r="B90" s="13" t="s">
        <v>387</v>
      </c>
      <c r="C90" s="14">
        <f>L90</f>
        <v>97097</v>
      </c>
      <c r="D90" s="15" t="s">
        <v>311</v>
      </c>
      <c r="E90" s="16" t="s">
        <v>296</v>
      </c>
      <c r="F90" s="17">
        <f>ROUND(Q90*$Q$10+R90*$R$10,2)</f>
        <v>704</v>
      </c>
      <c r="G90" s="17">
        <f>ROUND(M90*(1-$M$10),2)</f>
        <v>20.7</v>
      </c>
      <c r="H90" s="17">
        <f>ROUND(G90*(IF(K90="O",(1+$F$10),(1+$F$19))),2)</f>
        <v>25.49</v>
      </c>
      <c r="I90" s="17">
        <f>ROUND((F90*H90),2)</f>
        <v>17944.96</v>
      </c>
      <c r="J90" s="101">
        <f t="shared" si="39"/>
        <v>2.8089965731574223E-2</v>
      </c>
      <c r="K90" s="188" t="s">
        <v>192</v>
      </c>
      <c r="L90" s="187">
        <v>97097</v>
      </c>
      <c r="M90" s="150">
        <v>21.79</v>
      </c>
      <c r="N90" s="154"/>
      <c r="O90" s="154"/>
      <c r="P90" s="154"/>
      <c r="Q90" s="150"/>
      <c r="R90" s="150">
        <f>R89</f>
        <v>704</v>
      </c>
    </row>
    <row r="91" spans="1:18" s="95" customFormat="1" ht="47.25">
      <c r="A91" s="61"/>
      <c r="B91" s="13" t="s">
        <v>388</v>
      </c>
      <c r="C91" s="14">
        <f>L91</f>
        <v>94990</v>
      </c>
      <c r="D91" s="15" t="s">
        <v>309</v>
      </c>
      <c r="E91" s="16" t="s">
        <v>308</v>
      </c>
      <c r="F91" s="17">
        <v>13.36</v>
      </c>
      <c r="G91" s="17">
        <f>ROUND(M91*(1-$M$10),2)</f>
        <v>527.65</v>
      </c>
      <c r="H91" s="17">
        <f>ROUND(G91*(IF(K91="O",(1+$F$10),(1+$F$19))),2)</f>
        <v>649.79999999999995</v>
      </c>
      <c r="I91" s="17">
        <f>ROUND((F91*H91),2)</f>
        <v>8681.33</v>
      </c>
      <c r="J91" s="101">
        <f t="shared" si="39"/>
        <v>1.3589234091604955E-2</v>
      </c>
      <c r="K91" s="188" t="s">
        <v>192</v>
      </c>
      <c r="L91" s="187">
        <v>94990</v>
      </c>
      <c r="M91" s="150">
        <v>555.41999999999996</v>
      </c>
      <c r="N91" s="154"/>
      <c r="O91" s="154"/>
      <c r="P91" s="154"/>
      <c r="Q91" s="150">
        <f>195.4*0.06</f>
        <v>11.724</v>
      </c>
      <c r="R91" s="150">
        <f>222.6*0.06</f>
        <v>13.356</v>
      </c>
    </row>
    <row r="92" spans="1:18" s="95" customFormat="1">
      <c r="A92" s="61"/>
      <c r="B92" s="36"/>
      <c r="C92" s="37"/>
      <c r="D92" s="38" t="s">
        <v>53</v>
      </c>
      <c r="E92" s="37"/>
      <c r="F92" s="39"/>
      <c r="G92" s="40"/>
      <c r="H92" s="41"/>
      <c r="I92" s="18">
        <f>ROUND(SUM(I82:I91),2)</f>
        <v>127741.99</v>
      </c>
      <c r="J92" s="102">
        <f t="shared" si="39"/>
        <v>0.19995966118526301</v>
      </c>
      <c r="K92" s="57"/>
      <c r="L92" s="187"/>
      <c r="M92" s="94"/>
      <c r="N92" s="154"/>
      <c r="O92" s="154"/>
      <c r="P92" s="154"/>
      <c r="Q92" s="150"/>
      <c r="R92" s="150"/>
    </row>
    <row r="93" spans="1:18" s="95" customFormat="1" ht="9.9499999999999993" customHeight="1">
      <c r="A93" s="61"/>
      <c r="B93" s="127"/>
      <c r="C93" s="128"/>
      <c r="D93" s="128"/>
      <c r="E93" s="128"/>
      <c r="F93" s="129"/>
      <c r="G93" s="129"/>
      <c r="H93" s="129"/>
      <c r="I93" s="129"/>
      <c r="J93" s="130"/>
      <c r="K93" s="189"/>
      <c r="L93" s="187"/>
      <c r="M93" s="94"/>
      <c r="N93" s="154"/>
      <c r="O93" s="154"/>
      <c r="P93" s="154"/>
      <c r="Q93" s="150"/>
      <c r="R93" s="150"/>
    </row>
    <row r="94" spans="1:18" s="95" customFormat="1">
      <c r="A94" s="61"/>
      <c r="B94" s="12" t="s">
        <v>54</v>
      </c>
      <c r="C94" s="22"/>
      <c r="D94" s="23" t="s">
        <v>37</v>
      </c>
      <c r="E94" s="19"/>
      <c r="F94" s="20"/>
      <c r="G94" s="21"/>
      <c r="H94" s="20"/>
      <c r="I94" s="21"/>
      <c r="J94" s="8"/>
      <c r="K94" s="190"/>
      <c r="L94" s="187"/>
      <c r="M94" s="94"/>
      <c r="N94" s="154"/>
      <c r="O94" s="154"/>
      <c r="P94" s="154"/>
      <c r="Q94" s="150"/>
      <c r="R94" s="150"/>
    </row>
    <row r="95" spans="1:18" s="95" customFormat="1" ht="47.25">
      <c r="A95" s="61"/>
      <c r="B95" s="13" t="s">
        <v>56</v>
      </c>
      <c r="C95" s="14" t="str">
        <f t="shared" ref="C95:C101" si="48">L95</f>
        <v>ED-49668
EST-MET-035</v>
      </c>
      <c r="D95" s="15" t="s">
        <v>396</v>
      </c>
      <c r="E95" s="16" t="s">
        <v>296</v>
      </c>
      <c r="F95" s="17">
        <v>64.05</v>
      </c>
      <c r="G95" s="17">
        <f t="shared" ref="G95:G101" si="49">ROUND(M95*(1-$M$10),2)</f>
        <v>48.17</v>
      </c>
      <c r="H95" s="17">
        <f t="shared" ref="H95:H101" si="50">ROUND(G95*(IF(K95="O",(1+$F$10),(1+$F$19))),2)</f>
        <v>59.32</v>
      </c>
      <c r="I95" s="17">
        <f t="shared" ref="I95:I101" si="51">ROUND((F95*H95),2)</f>
        <v>3799.45</v>
      </c>
      <c r="J95" s="101">
        <f t="shared" ref="J95:J102" si="52">I95/$I$284</f>
        <v>5.9474314960205913E-3</v>
      </c>
      <c r="K95" s="188" t="s">
        <v>192</v>
      </c>
      <c r="L95" s="187" t="s">
        <v>395</v>
      </c>
      <c r="M95" s="150">
        <v>50.7</v>
      </c>
      <c r="N95" s="154"/>
      <c r="O95" s="154"/>
      <c r="P95" s="154"/>
      <c r="Q95" s="150">
        <v>1287.8800000000001</v>
      </c>
      <c r="R95" s="150"/>
    </row>
    <row r="96" spans="1:18" s="95" customFormat="1" ht="63">
      <c r="A96" s="61"/>
      <c r="B96" s="13" t="s">
        <v>389</v>
      </c>
      <c r="C96" s="14">
        <f t="shared" ref="C96" si="53">L96</f>
        <v>94210</v>
      </c>
      <c r="D96" s="15" t="s">
        <v>400</v>
      </c>
      <c r="E96" s="16" t="s">
        <v>296</v>
      </c>
      <c r="F96" s="17">
        <v>64.05</v>
      </c>
      <c r="G96" s="17">
        <f t="shared" ref="G96" si="54">ROUND(M96*(1-$M$10),2)</f>
        <v>31.5</v>
      </c>
      <c r="H96" s="17">
        <f t="shared" ref="H96" si="55">ROUND(G96*(IF(K96="O",(1+$F$10),(1+$F$19))),2)</f>
        <v>38.79</v>
      </c>
      <c r="I96" s="17">
        <f t="shared" ref="I96" si="56">ROUND((F96*H96),2)</f>
        <v>2484.5</v>
      </c>
      <c r="J96" s="101">
        <f t="shared" si="52"/>
        <v>3.8890875131566832E-3</v>
      </c>
      <c r="K96" s="188" t="s">
        <v>192</v>
      </c>
      <c r="L96" s="187">
        <v>94210</v>
      </c>
      <c r="M96" s="150">
        <v>33.159999999999997</v>
      </c>
      <c r="N96" s="193"/>
      <c r="O96" s="193"/>
      <c r="P96" s="193"/>
      <c r="Q96" s="150">
        <f>Q95</f>
        <v>1287.8800000000001</v>
      </c>
      <c r="R96" s="150"/>
    </row>
    <row r="97" spans="1:18" s="95" customFormat="1" ht="31.5">
      <c r="A97" s="61"/>
      <c r="B97" s="13" t="s">
        <v>390</v>
      </c>
      <c r="C97" s="14">
        <f>L97</f>
        <v>94231</v>
      </c>
      <c r="D97" s="15" t="s">
        <v>402</v>
      </c>
      <c r="E97" s="16" t="s">
        <v>298</v>
      </c>
      <c r="F97" s="17">
        <v>43.6</v>
      </c>
      <c r="G97" s="17">
        <f>ROUND(M97*(1-$M$10),2)</f>
        <v>36</v>
      </c>
      <c r="H97" s="17">
        <f>ROUND(G97*(IF(K97="O",(1+$F$10),(1+$F$19))),2)</f>
        <v>44.33</v>
      </c>
      <c r="I97" s="17">
        <f>ROUND((F97*H97),2)</f>
        <v>1932.79</v>
      </c>
      <c r="J97" s="101">
        <f t="shared" si="52"/>
        <v>3.0254737188786904E-3</v>
      </c>
      <c r="K97" s="188" t="s">
        <v>192</v>
      </c>
      <c r="L97" s="187">
        <v>94231</v>
      </c>
      <c r="M97" s="150">
        <v>37.89</v>
      </c>
      <c r="N97" s="154"/>
      <c r="O97" s="154"/>
      <c r="P97" s="154"/>
      <c r="Q97" s="150">
        <v>286.02999999999997</v>
      </c>
      <c r="R97" s="150"/>
    </row>
    <row r="98" spans="1:18" s="95" customFormat="1" ht="47.25">
      <c r="A98" s="61"/>
      <c r="B98" s="13" t="s">
        <v>391</v>
      </c>
      <c r="C98" s="14">
        <f>L98</f>
        <v>94229</v>
      </c>
      <c r="D98" s="15" t="s">
        <v>403</v>
      </c>
      <c r="E98" s="16" t="s">
        <v>298</v>
      </c>
      <c r="F98" s="17">
        <v>18.3</v>
      </c>
      <c r="G98" s="17">
        <f>ROUND(M98*(1-$M$10),2)</f>
        <v>120.36</v>
      </c>
      <c r="H98" s="17">
        <f>ROUND(G98*(IF(K98="O",(1+$F$10),(1+$F$19))),2)</f>
        <v>148.22</v>
      </c>
      <c r="I98" s="17">
        <f>ROUND((F98*H98),2)</f>
        <v>2712.43</v>
      </c>
      <c r="J98" s="101">
        <f t="shared" si="52"/>
        <v>4.2458754853337017E-3</v>
      </c>
      <c r="K98" s="188" t="s">
        <v>192</v>
      </c>
      <c r="L98" s="187">
        <v>94229</v>
      </c>
      <c r="M98" s="150">
        <v>126.69</v>
      </c>
      <c r="N98" s="154"/>
      <c r="O98" s="154"/>
      <c r="P98" s="154"/>
      <c r="Q98" s="150">
        <v>156.51</v>
      </c>
      <c r="R98" s="150"/>
    </row>
    <row r="99" spans="1:18" s="95" customFormat="1" ht="31.5">
      <c r="A99" s="61"/>
      <c r="B99" s="13" t="s">
        <v>392</v>
      </c>
      <c r="C99" s="14" t="str">
        <f>L99</f>
        <v>ED-50667
PLU-CHA-005</v>
      </c>
      <c r="D99" s="15" t="s">
        <v>180</v>
      </c>
      <c r="E99" s="16" t="s">
        <v>298</v>
      </c>
      <c r="F99" s="17">
        <v>21.8</v>
      </c>
      <c r="G99" s="17">
        <f>ROUND(M99*(1-$M$10),2)</f>
        <v>47.54</v>
      </c>
      <c r="H99" s="17">
        <f>ROUND(G99*(IF(K99="O",(1+$F$10),(1+$F$19))),2)</f>
        <v>58.55</v>
      </c>
      <c r="I99" s="17">
        <f>ROUND((F99*H99),2)</f>
        <v>1276.3900000000001</v>
      </c>
      <c r="J99" s="101">
        <f t="shared" si="52"/>
        <v>1.997984468069253E-3</v>
      </c>
      <c r="K99" s="188" t="s">
        <v>192</v>
      </c>
      <c r="L99" s="187" t="s">
        <v>401</v>
      </c>
      <c r="M99" s="150">
        <v>50.04</v>
      </c>
      <c r="N99" s="154"/>
      <c r="O99" s="154"/>
      <c r="P99" s="154"/>
      <c r="Q99" s="150">
        <v>245</v>
      </c>
      <c r="R99" s="150"/>
    </row>
    <row r="100" spans="1:18" s="95" customFormat="1" ht="47.25">
      <c r="A100" s="61"/>
      <c r="B100" s="13" t="s">
        <v>393</v>
      </c>
      <c r="C100" s="14" t="str">
        <f t="shared" ref="C100" si="57">L100</f>
        <v>ED-49664
EST-MET-005</v>
      </c>
      <c r="D100" s="15" t="s">
        <v>398</v>
      </c>
      <c r="E100" s="16" t="s">
        <v>360</v>
      </c>
      <c r="F100" s="17">
        <f t="shared" ref="F100" si="58">ROUND(Q100*$Q$10+R100*$R$10,2)</f>
        <v>8683</v>
      </c>
      <c r="G100" s="17">
        <f t="shared" ref="G100" si="59">ROUND(M100*(1-$M$10),2)</f>
        <v>9.98</v>
      </c>
      <c r="H100" s="17">
        <f t="shared" ref="H100" si="60">ROUND(G100*(IF(K100="O",(1+$F$10),(1+$F$19))),2)</f>
        <v>12.29</v>
      </c>
      <c r="I100" s="17">
        <f t="shared" ref="I100" si="61">ROUND((F100*H100),2)</f>
        <v>106714.07</v>
      </c>
      <c r="J100" s="101">
        <f t="shared" si="52"/>
        <v>0.16704381449592604</v>
      </c>
      <c r="K100" s="188" t="s">
        <v>192</v>
      </c>
      <c r="L100" s="187" t="s">
        <v>397</v>
      </c>
      <c r="M100" s="150">
        <v>10.5</v>
      </c>
      <c r="N100" s="193"/>
      <c r="O100" s="193"/>
      <c r="P100" s="193"/>
      <c r="Q100" s="150"/>
      <c r="R100" s="150">
        <v>8683</v>
      </c>
    </row>
    <row r="101" spans="1:18" s="95" customFormat="1" ht="31.5">
      <c r="A101" s="61"/>
      <c r="B101" s="13" t="s">
        <v>394</v>
      </c>
      <c r="C101" s="14">
        <f t="shared" si="48"/>
        <v>94213</v>
      </c>
      <c r="D101" s="15" t="s">
        <v>399</v>
      </c>
      <c r="E101" s="16" t="s">
        <v>296</v>
      </c>
      <c r="F101" s="17">
        <f t="shared" ref="F101" si="62">ROUND(Q101*$Q$10+R101*$R$10,2)</f>
        <v>811</v>
      </c>
      <c r="G101" s="17">
        <f t="shared" si="49"/>
        <v>49.8</v>
      </c>
      <c r="H101" s="17">
        <f t="shared" si="50"/>
        <v>61.33</v>
      </c>
      <c r="I101" s="17">
        <f t="shared" si="51"/>
        <v>49738.63</v>
      </c>
      <c r="J101" s="101">
        <f t="shared" si="52"/>
        <v>7.7857872752875992E-2</v>
      </c>
      <c r="K101" s="188" t="s">
        <v>192</v>
      </c>
      <c r="L101" s="187">
        <v>94213</v>
      </c>
      <c r="M101" s="150">
        <v>52.42</v>
      </c>
      <c r="N101" s="154"/>
      <c r="O101" s="154"/>
      <c r="P101" s="154"/>
      <c r="Q101" s="150"/>
      <c r="R101" s="150">
        <v>811</v>
      </c>
    </row>
    <row r="102" spans="1:18" s="95" customFormat="1">
      <c r="A102" s="61"/>
      <c r="B102" s="36"/>
      <c r="C102" s="37"/>
      <c r="D102" s="38" t="s">
        <v>57</v>
      </c>
      <c r="E102" s="37"/>
      <c r="F102" s="39"/>
      <c r="G102" s="40"/>
      <c r="H102" s="41"/>
      <c r="I102" s="18">
        <f>ROUND(SUM(I95:I101),2)</f>
        <v>168658.26</v>
      </c>
      <c r="J102" s="102">
        <f t="shared" si="52"/>
        <v>0.26400753993026094</v>
      </c>
      <c r="K102" s="57"/>
      <c r="L102" s="187"/>
      <c r="M102" s="94"/>
      <c r="N102" s="154"/>
      <c r="O102" s="154"/>
      <c r="P102" s="154"/>
      <c r="Q102" s="150"/>
      <c r="R102" s="150"/>
    </row>
    <row r="103" spans="1:18" s="95" customFormat="1" ht="9.9499999999999993" customHeight="1">
      <c r="A103" s="61"/>
      <c r="B103" s="127"/>
      <c r="C103" s="128"/>
      <c r="D103" s="128"/>
      <c r="E103" s="128"/>
      <c r="F103" s="129"/>
      <c r="G103" s="129"/>
      <c r="H103" s="129"/>
      <c r="I103" s="129"/>
      <c r="J103" s="130"/>
      <c r="K103" s="189"/>
      <c r="L103" s="187"/>
      <c r="M103" s="94"/>
      <c r="N103" s="154"/>
      <c r="O103" s="154"/>
      <c r="P103" s="154"/>
      <c r="Q103" s="150"/>
      <c r="R103" s="150"/>
    </row>
    <row r="104" spans="1:18" s="95" customFormat="1">
      <c r="A104" s="61"/>
      <c r="B104" s="12" t="s">
        <v>58</v>
      </c>
      <c r="C104" s="22"/>
      <c r="D104" s="23" t="s">
        <v>80</v>
      </c>
      <c r="E104" s="19"/>
      <c r="F104" s="20"/>
      <c r="G104" s="21"/>
      <c r="H104" s="20"/>
      <c r="I104" s="21"/>
      <c r="J104" s="8"/>
      <c r="K104" s="190"/>
      <c r="L104" s="187"/>
      <c r="M104" s="94"/>
      <c r="N104" s="154"/>
      <c r="O104" s="154"/>
      <c r="P104" s="154"/>
      <c r="Q104" s="150"/>
      <c r="R104" s="150"/>
    </row>
    <row r="105" spans="1:18" s="95" customFormat="1" ht="47.25">
      <c r="A105" s="61"/>
      <c r="B105" s="13" t="s">
        <v>60</v>
      </c>
      <c r="C105" s="14">
        <f>L105</f>
        <v>94807</v>
      </c>
      <c r="D105" s="15" t="s">
        <v>406</v>
      </c>
      <c r="E105" s="16" t="s">
        <v>297</v>
      </c>
      <c r="F105" s="17">
        <v>6</v>
      </c>
      <c r="G105" s="17">
        <f>ROUND(M105*(1-$M$10),2)</f>
        <v>572.96</v>
      </c>
      <c r="H105" s="17">
        <f>ROUND(G105*(IF(K105="O",(1+$F$10),(1+$F$19))),2)</f>
        <v>705.6</v>
      </c>
      <c r="I105" s="17">
        <f>ROUND((F105*H105),2)</f>
        <v>4233.6000000000004</v>
      </c>
      <c r="J105" s="101">
        <f t="shared" ref="J105:J111" si="63">I105/$I$284</f>
        <v>6.6270239065003567E-3</v>
      </c>
      <c r="K105" s="188" t="s">
        <v>192</v>
      </c>
      <c r="L105" s="187">
        <v>94807</v>
      </c>
      <c r="M105" s="150">
        <v>603.12</v>
      </c>
      <c r="N105" s="154"/>
      <c r="O105" s="154"/>
      <c r="P105" s="154"/>
      <c r="Q105" s="150">
        <v>8</v>
      </c>
      <c r="R105" s="150"/>
    </row>
    <row r="106" spans="1:18" s="95" customFormat="1" ht="31.5">
      <c r="A106" s="61"/>
      <c r="B106" s="13" t="s">
        <v>61</v>
      </c>
      <c r="C106" s="14" t="str">
        <f>L106</f>
        <v>ED-50979
SER-POR-035</v>
      </c>
      <c r="D106" s="15" t="s">
        <v>208</v>
      </c>
      <c r="E106" s="16" t="s">
        <v>296</v>
      </c>
      <c r="F106" s="17">
        <v>3.96</v>
      </c>
      <c r="G106" s="17">
        <f>ROUND(M106*(1-$M$10),2)</f>
        <v>268.32</v>
      </c>
      <c r="H106" s="17">
        <f>ROUND(G106*(IF(K106="O",(1+$F$10),(1+$F$19))),2)</f>
        <v>330.44</v>
      </c>
      <c r="I106" s="17">
        <f>ROUND((F106*H106),2)</f>
        <v>1308.54</v>
      </c>
      <c r="J106" s="101">
        <f t="shared" si="63"/>
        <v>2.0483101527333653E-3</v>
      </c>
      <c r="K106" s="188" t="s">
        <v>192</v>
      </c>
      <c r="L106" s="187" t="s">
        <v>404</v>
      </c>
      <c r="M106" s="150">
        <v>282.44</v>
      </c>
      <c r="N106" s="154"/>
      <c r="O106" s="154"/>
      <c r="P106" s="154"/>
      <c r="Q106" s="150">
        <f>6.3+2.9</f>
        <v>9.1999999999999993</v>
      </c>
      <c r="R106" s="150"/>
    </row>
    <row r="107" spans="1:18" ht="63">
      <c r="B107" s="13" t="s">
        <v>77</v>
      </c>
      <c r="C107" s="14" t="str">
        <f>L107</f>
        <v>ED-50976
SER-POR-025</v>
      </c>
      <c r="D107" s="15" t="s">
        <v>209</v>
      </c>
      <c r="E107" s="16" t="s">
        <v>297</v>
      </c>
      <c r="F107" s="17">
        <v>11</v>
      </c>
      <c r="G107" s="17">
        <f>ROUND(M107*(1-$M$10),2)</f>
        <v>240.53</v>
      </c>
      <c r="H107" s="17">
        <f>ROUND(G107*(IF(K107="O",(1+$F$10),(1+$F$19))),2)</f>
        <v>296.20999999999998</v>
      </c>
      <c r="I107" s="17">
        <f>ROUND((F107*H107),2)</f>
        <v>3258.31</v>
      </c>
      <c r="J107" s="101">
        <f t="shared" si="63"/>
        <v>5.1003633467472543E-3</v>
      </c>
      <c r="K107" s="188" t="s">
        <v>192</v>
      </c>
      <c r="L107" s="187" t="s">
        <v>405</v>
      </c>
      <c r="M107" s="150">
        <v>253.19</v>
      </c>
      <c r="Q107" s="150">
        <v>9</v>
      </c>
      <c r="R107" s="150"/>
    </row>
    <row r="108" spans="1:18" ht="63">
      <c r="B108" s="13" t="s">
        <v>159</v>
      </c>
      <c r="C108" s="14">
        <f t="shared" ref="C108:C110" si="64">L108</f>
        <v>94559</v>
      </c>
      <c r="D108" s="15" t="s">
        <v>407</v>
      </c>
      <c r="E108" s="16" t="s">
        <v>296</v>
      </c>
      <c r="F108" s="17">
        <v>7.04</v>
      </c>
      <c r="G108" s="17">
        <f t="shared" ref="G108:G110" si="65">ROUND(M108*(1-$M$10),2)</f>
        <v>563.79999999999995</v>
      </c>
      <c r="H108" s="17">
        <f t="shared" ref="H108:H110" si="66">ROUND(G108*(IF(K108="O",(1+$F$10),(1+$F$19))),2)</f>
        <v>694.32</v>
      </c>
      <c r="I108" s="17">
        <f t="shared" ref="I108:I110" si="67">ROUND((F108*H108),2)</f>
        <v>4888.01</v>
      </c>
      <c r="J108" s="101">
        <f t="shared" si="63"/>
        <v>7.6513981304829953E-3</v>
      </c>
      <c r="K108" s="188" t="s">
        <v>192</v>
      </c>
      <c r="L108" s="187">
        <v>94559</v>
      </c>
      <c r="M108" s="150">
        <v>593.47</v>
      </c>
      <c r="Q108" s="150">
        <f>7.04+3.6+2.88+6.5</f>
        <v>20.02</v>
      </c>
      <c r="R108" s="150"/>
    </row>
    <row r="109" spans="1:18">
      <c r="B109" s="13" t="s">
        <v>160</v>
      </c>
      <c r="C109" s="14">
        <f t="shared" si="64"/>
        <v>72122</v>
      </c>
      <c r="D109" s="15" t="s">
        <v>408</v>
      </c>
      <c r="E109" s="16" t="s">
        <v>296</v>
      </c>
      <c r="F109" s="17">
        <v>7.04</v>
      </c>
      <c r="G109" s="17">
        <f t="shared" si="65"/>
        <v>104.41</v>
      </c>
      <c r="H109" s="17">
        <f t="shared" si="66"/>
        <v>128.58000000000001</v>
      </c>
      <c r="I109" s="17">
        <f t="shared" si="67"/>
        <v>905.2</v>
      </c>
      <c r="J109" s="101">
        <f t="shared" si="63"/>
        <v>1.4169458711649949E-3</v>
      </c>
      <c r="K109" s="188" t="s">
        <v>192</v>
      </c>
      <c r="L109" s="187">
        <v>72122</v>
      </c>
      <c r="M109" s="150">
        <v>109.91</v>
      </c>
      <c r="Q109" s="150" t="e">
        <f>#REF!+#REF!+Q108</f>
        <v>#REF!</v>
      </c>
      <c r="R109" s="150"/>
    </row>
    <row r="110" spans="1:18" ht="31.5">
      <c r="B110" s="13" t="s">
        <v>196</v>
      </c>
      <c r="C110" s="14">
        <f t="shared" si="64"/>
        <v>99861</v>
      </c>
      <c r="D110" s="15" t="s">
        <v>409</v>
      </c>
      <c r="E110" s="16" t="s">
        <v>296</v>
      </c>
      <c r="F110" s="17">
        <v>11</v>
      </c>
      <c r="G110" s="17">
        <f t="shared" si="65"/>
        <v>398.34</v>
      </c>
      <c r="H110" s="17">
        <f t="shared" si="66"/>
        <v>490.56</v>
      </c>
      <c r="I110" s="17">
        <f t="shared" si="67"/>
        <v>5396.16</v>
      </c>
      <c r="J110" s="101">
        <f t="shared" si="63"/>
        <v>8.4468257093964858E-3</v>
      </c>
      <c r="K110" s="188" t="s">
        <v>192</v>
      </c>
      <c r="L110" s="187">
        <v>99861</v>
      </c>
      <c r="M110" s="150">
        <v>419.3</v>
      </c>
      <c r="Q110" s="150">
        <v>33.020000000000003</v>
      </c>
      <c r="R110" s="150"/>
    </row>
    <row r="111" spans="1:18">
      <c r="B111" s="36"/>
      <c r="C111" s="37"/>
      <c r="D111" s="38" t="s">
        <v>76</v>
      </c>
      <c r="E111" s="37"/>
      <c r="F111" s="39"/>
      <c r="G111" s="40"/>
      <c r="H111" s="41"/>
      <c r="I111" s="18">
        <f>ROUND(SUM(I105:I110),2)</f>
        <v>19989.82</v>
      </c>
      <c r="J111" s="102">
        <f t="shared" si="63"/>
        <v>3.1290867117025452E-2</v>
      </c>
      <c r="K111" s="57"/>
      <c r="L111" s="187"/>
      <c r="M111" s="94"/>
      <c r="Q111" s="150"/>
      <c r="R111" s="150"/>
    </row>
    <row r="112" spans="1:18" ht="9.9499999999999993" customHeight="1">
      <c r="B112" s="127"/>
      <c r="C112" s="128"/>
      <c r="D112" s="128"/>
      <c r="E112" s="128"/>
      <c r="F112" s="129"/>
      <c r="G112" s="129"/>
      <c r="H112" s="129"/>
      <c r="I112" s="129"/>
      <c r="J112" s="130"/>
      <c r="K112" s="189"/>
      <c r="L112" s="187"/>
      <c r="M112" s="94"/>
      <c r="Q112" s="150"/>
      <c r="R112" s="150"/>
    </row>
    <row r="113" spans="1:18">
      <c r="B113" s="12" t="s">
        <v>64</v>
      </c>
      <c r="C113" s="22"/>
      <c r="D113" s="23" t="s">
        <v>86</v>
      </c>
      <c r="E113" s="19"/>
      <c r="F113" s="20"/>
      <c r="G113" s="21"/>
      <c r="H113" s="20"/>
      <c r="I113" s="21"/>
      <c r="J113" s="8"/>
      <c r="K113" s="190"/>
      <c r="L113" s="187"/>
      <c r="M113" s="94"/>
      <c r="Q113" s="150"/>
      <c r="R113" s="150"/>
    </row>
    <row r="114" spans="1:18" ht="31.5">
      <c r="B114" s="13" t="s">
        <v>66</v>
      </c>
      <c r="C114" s="14">
        <f t="shared" ref="C114:C120" si="68">L114</f>
        <v>88497</v>
      </c>
      <c r="D114" s="15" t="s">
        <v>417</v>
      </c>
      <c r="E114" s="16" t="s">
        <v>296</v>
      </c>
      <c r="F114" s="17">
        <f>F73</f>
        <v>348.8</v>
      </c>
      <c r="G114" s="17">
        <f t="shared" ref="G114:G120" si="69">ROUND(M114*(1-$M$10),2)</f>
        <v>10.92</v>
      </c>
      <c r="H114" s="17">
        <f t="shared" ref="H114:H120" si="70">ROUND(G114*(IF(K114="O",(1+$F$10),(1+$F$19))),2)</f>
        <v>13.45</v>
      </c>
      <c r="I114" s="17">
        <f t="shared" ref="I114:I120" si="71">ROUND((F114*H114),2)</f>
        <v>4691.3599999999997</v>
      </c>
      <c r="J114" s="101">
        <f t="shared" ref="J114:J126" si="72">I114/$I$284</f>
        <v>7.3435739970709344E-3</v>
      </c>
      <c r="K114" s="188" t="s">
        <v>192</v>
      </c>
      <c r="L114" s="187">
        <v>88497</v>
      </c>
      <c r="M114" s="150">
        <v>11.49</v>
      </c>
      <c r="Q114" s="150">
        <v>934.57</v>
      </c>
      <c r="R114" s="150"/>
    </row>
    <row r="115" spans="1:18" ht="31.5">
      <c r="B115" s="13" t="s">
        <v>68</v>
      </c>
      <c r="C115" s="14">
        <f t="shared" si="68"/>
        <v>88496</v>
      </c>
      <c r="D115" s="15" t="s">
        <v>418</v>
      </c>
      <c r="E115" s="16" t="s">
        <v>296</v>
      </c>
      <c r="F115" s="17">
        <f>F72</f>
        <v>80.05</v>
      </c>
      <c r="G115" s="17">
        <f t="shared" si="69"/>
        <v>19.46</v>
      </c>
      <c r="H115" s="17">
        <f t="shared" si="70"/>
        <v>23.96</v>
      </c>
      <c r="I115" s="17">
        <f t="shared" si="71"/>
        <v>1918</v>
      </c>
      <c r="J115" s="101">
        <f t="shared" si="72"/>
        <v>3.0023223385930845E-3</v>
      </c>
      <c r="K115" s="188" t="s">
        <v>192</v>
      </c>
      <c r="L115" s="187">
        <v>88496</v>
      </c>
      <c r="M115" s="150">
        <v>20.48</v>
      </c>
      <c r="Q115" s="150">
        <f>1557.6+54.1</f>
        <v>1611.6999999999998</v>
      </c>
      <c r="R115" s="150"/>
    </row>
    <row r="116" spans="1:18" ht="31.5">
      <c r="B116" s="13" t="s">
        <v>69</v>
      </c>
      <c r="C116" s="14">
        <f t="shared" si="68"/>
        <v>88485</v>
      </c>
      <c r="D116" s="15" t="s">
        <v>419</v>
      </c>
      <c r="E116" s="16" t="s">
        <v>296</v>
      </c>
      <c r="F116" s="17">
        <f>F114</f>
        <v>348.8</v>
      </c>
      <c r="G116" s="17">
        <f t="shared" si="69"/>
        <v>2.08</v>
      </c>
      <c r="H116" s="17">
        <f t="shared" si="70"/>
        <v>2.56</v>
      </c>
      <c r="I116" s="17">
        <f t="shared" si="71"/>
        <v>892.93</v>
      </c>
      <c r="J116" s="101">
        <f t="shared" si="72"/>
        <v>1.3977391479665917E-3</v>
      </c>
      <c r="K116" s="188" t="s">
        <v>192</v>
      </c>
      <c r="L116" s="187">
        <v>88485</v>
      </c>
      <c r="M116" s="150">
        <v>2.19</v>
      </c>
      <c r="Q116" s="150">
        <f>702.3+943.04+Q114</f>
        <v>2579.91</v>
      </c>
      <c r="R116" s="150"/>
    </row>
    <row r="117" spans="1:18" s="145" customFormat="1" ht="31.5">
      <c r="A117" s="61"/>
      <c r="B117" s="13" t="s">
        <v>70</v>
      </c>
      <c r="C117" s="14">
        <f>L117</f>
        <v>88484</v>
      </c>
      <c r="D117" s="15" t="s">
        <v>420</v>
      </c>
      <c r="E117" s="16" t="s">
        <v>296</v>
      </c>
      <c r="F117" s="17">
        <f>F115</f>
        <v>80.05</v>
      </c>
      <c r="G117" s="17">
        <f>ROUND(M117*(1-$M$10),2)</f>
        <v>2.37</v>
      </c>
      <c r="H117" s="17">
        <f>ROUND(G117*(IF(K117="O",(1+$F$10),(1+$F$19))),2)</f>
        <v>2.92</v>
      </c>
      <c r="I117" s="17">
        <f>ROUND((F117*H117),2)</f>
        <v>233.75</v>
      </c>
      <c r="J117" s="101">
        <f t="shared" si="72"/>
        <v>3.6589825164031988E-4</v>
      </c>
      <c r="K117" s="188" t="s">
        <v>192</v>
      </c>
      <c r="L117" s="187">
        <v>88484</v>
      </c>
      <c r="M117" s="150">
        <v>2.4900000000000002</v>
      </c>
      <c r="N117" s="154"/>
      <c r="O117" s="154"/>
      <c r="P117" s="154"/>
      <c r="Q117" s="150">
        <f>184+Q115</f>
        <v>1795.6999999999998</v>
      </c>
      <c r="R117" s="150"/>
    </row>
    <row r="118" spans="1:18" ht="31.5">
      <c r="B118" s="13" t="s">
        <v>71</v>
      </c>
      <c r="C118" s="14">
        <f t="shared" si="68"/>
        <v>88487</v>
      </c>
      <c r="D118" s="15" t="s">
        <v>421</v>
      </c>
      <c r="E118" s="16" t="s">
        <v>296</v>
      </c>
      <c r="F118" s="17">
        <v>87.8</v>
      </c>
      <c r="G118" s="17">
        <f t="shared" si="69"/>
        <v>8.1</v>
      </c>
      <c r="H118" s="17">
        <f t="shared" si="70"/>
        <v>9.98</v>
      </c>
      <c r="I118" s="17">
        <f t="shared" si="71"/>
        <v>876.24</v>
      </c>
      <c r="J118" s="101">
        <f t="shared" si="72"/>
        <v>1.3716136214644444E-3</v>
      </c>
      <c r="K118" s="188" t="s">
        <v>192</v>
      </c>
      <c r="L118" s="187">
        <v>88487</v>
      </c>
      <c r="M118" s="150">
        <v>8.5299999999999994</v>
      </c>
      <c r="Q118" s="150">
        <f>Q114*0.6</f>
        <v>560.74199999999996</v>
      </c>
      <c r="R118" s="150"/>
    </row>
    <row r="119" spans="1:18" ht="31.5">
      <c r="B119" s="13" t="s">
        <v>72</v>
      </c>
      <c r="C119" s="14">
        <f t="shared" si="68"/>
        <v>88486</v>
      </c>
      <c r="D119" s="15" t="s">
        <v>422</v>
      </c>
      <c r="E119" s="16" t="s">
        <v>296</v>
      </c>
      <c r="F119" s="17">
        <v>64.05</v>
      </c>
      <c r="G119" s="17">
        <f t="shared" si="69"/>
        <v>9.0299999999999994</v>
      </c>
      <c r="H119" s="17">
        <f t="shared" si="70"/>
        <v>11.12</v>
      </c>
      <c r="I119" s="17">
        <f t="shared" si="71"/>
        <v>712.24</v>
      </c>
      <c r="J119" s="101">
        <f t="shared" si="72"/>
        <v>1.114897842773482E-3</v>
      </c>
      <c r="K119" s="188" t="s">
        <v>192</v>
      </c>
      <c r="L119" s="187">
        <v>88486</v>
      </c>
      <c r="M119" s="150">
        <v>9.51</v>
      </c>
      <c r="Q119" s="150">
        <f>Q115</f>
        <v>1611.6999999999998</v>
      </c>
      <c r="R119" s="150"/>
    </row>
    <row r="120" spans="1:18" ht="31.5">
      <c r="B120" s="13" t="s">
        <v>75</v>
      </c>
      <c r="C120" s="14">
        <f t="shared" si="68"/>
        <v>88489</v>
      </c>
      <c r="D120" s="15" t="s">
        <v>423</v>
      </c>
      <c r="E120" s="16" t="s">
        <v>296</v>
      </c>
      <c r="F120" s="17">
        <v>261</v>
      </c>
      <c r="G120" s="17">
        <f t="shared" si="69"/>
        <v>10.24</v>
      </c>
      <c r="H120" s="17">
        <f t="shared" si="70"/>
        <v>12.61</v>
      </c>
      <c r="I120" s="17">
        <f t="shared" si="71"/>
        <v>3291.21</v>
      </c>
      <c r="J120" s="101">
        <f t="shared" si="72"/>
        <v>5.1518630364968433E-3</v>
      </c>
      <c r="K120" s="188" t="s">
        <v>192</v>
      </c>
      <c r="L120" s="187">
        <v>88489</v>
      </c>
      <c r="M120" s="150">
        <v>10.78</v>
      </c>
      <c r="Q120" s="150">
        <f>702.3+943.04</f>
        <v>1645.34</v>
      </c>
      <c r="R120" s="150"/>
    </row>
    <row r="121" spans="1:18" ht="31.5">
      <c r="B121" s="13" t="s">
        <v>157</v>
      </c>
      <c r="C121" s="14">
        <f>L121</f>
        <v>88488</v>
      </c>
      <c r="D121" s="15" t="s">
        <v>424</v>
      </c>
      <c r="E121" s="16" t="s">
        <v>296</v>
      </c>
      <c r="F121" s="17">
        <v>16</v>
      </c>
      <c r="G121" s="17">
        <f>ROUND(M121*(1-$M$10),2)</f>
        <v>11.58</v>
      </c>
      <c r="H121" s="17">
        <f>ROUND(G121*(IF(K121="O",(1+$F$10),(1+$F$19))),2)</f>
        <v>14.26</v>
      </c>
      <c r="I121" s="17">
        <f>ROUND((F121*H121),2)</f>
        <v>228.16</v>
      </c>
      <c r="J121" s="101">
        <f t="shared" si="72"/>
        <v>3.571480004032316E-4</v>
      </c>
      <c r="K121" s="188" t="s">
        <v>192</v>
      </c>
      <c r="L121" s="187">
        <v>88488</v>
      </c>
      <c r="M121" s="150">
        <v>12.19</v>
      </c>
      <c r="Q121" s="150">
        <v>184</v>
      </c>
      <c r="R121" s="150"/>
    </row>
    <row r="122" spans="1:18" s="146" customFormat="1" ht="47.25">
      <c r="A122" s="61"/>
      <c r="B122" s="13" t="s">
        <v>410</v>
      </c>
      <c r="C122" s="14" t="str">
        <f t="shared" ref="C122" si="73">L122</f>
        <v>ED-50509
PIN-OLE-005</v>
      </c>
      <c r="D122" s="15" t="s">
        <v>425</v>
      </c>
      <c r="E122" s="16" t="s">
        <v>296</v>
      </c>
      <c r="F122" s="17">
        <v>82.5</v>
      </c>
      <c r="G122" s="17">
        <f t="shared" ref="G122" si="74">ROUND(M122*(1-$M$10),2)</f>
        <v>13.85</v>
      </c>
      <c r="H122" s="17">
        <f t="shared" ref="H122" si="75">ROUND(G122*(IF(K122="O",(1+$F$10),(1+$F$19))),2)</f>
        <v>17.059999999999999</v>
      </c>
      <c r="I122" s="17">
        <f t="shared" ref="I122" si="76">ROUND((F122*H122),2)</f>
        <v>1407.45</v>
      </c>
      <c r="J122" s="101">
        <f t="shared" si="72"/>
        <v>2.2031379434060672E-3</v>
      </c>
      <c r="K122" s="188" t="s">
        <v>192</v>
      </c>
      <c r="L122" s="187" t="s">
        <v>416</v>
      </c>
      <c r="M122" s="150">
        <v>14.58</v>
      </c>
      <c r="N122" s="193"/>
      <c r="O122" s="193"/>
      <c r="P122" s="193"/>
      <c r="Q122" s="150">
        <f>Q114*0.4</f>
        <v>373.82800000000003</v>
      </c>
      <c r="R122" s="150"/>
    </row>
    <row r="123" spans="1:18">
      <c r="B123" s="13" t="s">
        <v>411</v>
      </c>
      <c r="C123" s="14" t="str">
        <f t="shared" ref="C123:C125" si="77">L123</f>
        <v>74245/001</v>
      </c>
      <c r="D123" s="15" t="s">
        <v>426</v>
      </c>
      <c r="E123" s="16" t="s">
        <v>296</v>
      </c>
      <c r="F123" s="17">
        <f t="shared" ref="F123" si="78">ROUND(Q123*$Q$10+R123*$R$10,2)</f>
        <v>418</v>
      </c>
      <c r="G123" s="17">
        <f t="shared" ref="G123:G125" si="79">ROUND(M123*(1-$M$10),2)</f>
        <v>11.85</v>
      </c>
      <c r="H123" s="17">
        <f t="shared" ref="H123:H125" si="80">ROUND(G123*(IF(K123="O",(1+$F$10),(1+$F$19))),2)</f>
        <v>14.59</v>
      </c>
      <c r="I123" s="17">
        <f t="shared" ref="I123:I125" si="81">ROUND((F123*H123),2)</f>
        <v>6098.62</v>
      </c>
      <c r="J123" s="101">
        <f t="shared" si="72"/>
        <v>9.5464145258553484E-3</v>
      </c>
      <c r="K123" s="188" t="s">
        <v>192</v>
      </c>
      <c r="L123" s="187" t="s">
        <v>414</v>
      </c>
      <c r="M123" s="150">
        <v>12.47</v>
      </c>
      <c r="Q123" s="150">
        <f>195.4</f>
        <v>195.4</v>
      </c>
      <c r="R123" s="150">
        <f>222.6</f>
        <v>222.6</v>
      </c>
    </row>
    <row r="124" spans="1:18" s="146" customFormat="1" ht="31.5">
      <c r="A124" s="61"/>
      <c r="B124" s="13" t="s">
        <v>412</v>
      </c>
      <c r="C124" s="14">
        <f t="shared" ref="C124" si="82">L124</f>
        <v>41595</v>
      </c>
      <c r="D124" s="15" t="s">
        <v>427</v>
      </c>
      <c r="E124" s="16" t="s">
        <v>298</v>
      </c>
      <c r="F124" s="17">
        <f t="shared" ref="F124" si="83">ROUND(Q124*$Q$10+R124*$R$10,2)</f>
        <v>373.35</v>
      </c>
      <c r="G124" s="17">
        <f t="shared" ref="G124" si="84">ROUND(M124*(1-$M$10),2)</f>
        <v>8.84</v>
      </c>
      <c r="H124" s="17">
        <f t="shared" ref="H124" si="85">ROUND(G124*(IF(K124="O",(1+$F$10),(1+$F$19))),2)</f>
        <v>10.89</v>
      </c>
      <c r="I124" s="17">
        <f t="shared" ref="I124" si="86">ROUND((F124*H124),2)</f>
        <v>4065.78</v>
      </c>
      <c r="J124" s="101">
        <f t="shared" si="72"/>
        <v>6.3643285285740316E-3</v>
      </c>
      <c r="K124" s="188" t="s">
        <v>192</v>
      </c>
      <c r="L124" s="187">
        <v>41595</v>
      </c>
      <c r="M124" s="150">
        <v>9.31</v>
      </c>
      <c r="N124" s="193"/>
      <c r="O124" s="193"/>
      <c r="P124" s="193"/>
      <c r="Q124" s="150"/>
      <c r="R124" s="150">
        <v>373.35</v>
      </c>
    </row>
    <row r="125" spans="1:18" ht="31.5">
      <c r="B125" s="13" t="s">
        <v>413</v>
      </c>
      <c r="C125" s="14" t="str">
        <f t="shared" si="77"/>
        <v>73978/001</v>
      </c>
      <c r="D125" s="15" t="s">
        <v>428</v>
      </c>
      <c r="E125" s="16" t="s">
        <v>296</v>
      </c>
      <c r="F125" s="17">
        <v>704</v>
      </c>
      <c r="G125" s="17">
        <f t="shared" si="79"/>
        <v>13.91</v>
      </c>
      <c r="H125" s="17">
        <f t="shared" si="80"/>
        <v>17.13</v>
      </c>
      <c r="I125" s="17">
        <f t="shared" si="81"/>
        <v>12059.52</v>
      </c>
      <c r="J125" s="101">
        <f t="shared" si="72"/>
        <v>1.8877250411214849E-2</v>
      </c>
      <c r="K125" s="188" t="s">
        <v>192</v>
      </c>
      <c r="L125" s="187" t="s">
        <v>415</v>
      </c>
      <c r="M125" s="150">
        <v>14.64</v>
      </c>
      <c r="Q125" s="150" t="e">
        <f>#REF!</f>
        <v>#REF!</v>
      </c>
      <c r="R125" s="150"/>
    </row>
    <row r="126" spans="1:18">
      <c r="B126" s="36"/>
      <c r="C126" s="37"/>
      <c r="D126" s="38" t="s">
        <v>78</v>
      </c>
      <c r="E126" s="37"/>
      <c r="F126" s="39"/>
      <c r="G126" s="40"/>
      <c r="H126" s="41"/>
      <c r="I126" s="18">
        <f>ROUND(SUM(I114:I125),2)</f>
        <v>36475.26</v>
      </c>
      <c r="J126" s="102">
        <f t="shared" si="72"/>
        <v>5.7096187645459227E-2</v>
      </c>
      <c r="K126" s="57"/>
      <c r="L126" s="187"/>
      <c r="M126" s="94"/>
      <c r="Q126" s="150"/>
      <c r="R126" s="150"/>
    </row>
    <row r="127" spans="1:18" s="95" customFormat="1" ht="9.9499999999999993" customHeight="1">
      <c r="A127" s="61"/>
      <c r="B127" s="127"/>
      <c r="C127" s="128"/>
      <c r="D127" s="128"/>
      <c r="E127" s="128"/>
      <c r="F127" s="129"/>
      <c r="G127" s="129"/>
      <c r="H127" s="129"/>
      <c r="I127" s="129"/>
      <c r="J127" s="130"/>
      <c r="K127" s="189"/>
      <c r="L127" s="187"/>
      <c r="M127" s="94"/>
      <c r="N127" s="154"/>
      <c r="O127" s="154"/>
      <c r="P127" s="154"/>
      <c r="Q127" s="150"/>
      <c r="R127" s="150"/>
    </row>
    <row r="128" spans="1:18" s="95" customFormat="1">
      <c r="A128" s="61"/>
      <c r="B128" s="12" t="s">
        <v>79</v>
      </c>
      <c r="C128" s="22"/>
      <c r="D128" s="23" t="s">
        <v>65</v>
      </c>
      <c r="E128" s="19"/>
      <c r="F128" s="20"/>
      <c r="G128" s="21"/>
      <c r="H128" s="20"/>
      <c r="I128" s="21"/>
      <c r="J128" s="8"/>
      <c r="K128" s="190"/>
      <c r="L128" s="187"/>
      <c r="M128" s="94"/>
      <c r="N128" s="154"/>
      <c r="O128" s="154"/>
      <c r="P128" s="154"/>
      <c r="Q128" s="150"/>
      <c r="R128" s="150"/>
    </row>
    <row r="129" spans="1:18" s="95" customFormat="1" ht="31.5">
      <c r="A129" s="61"/>
      <c r="B129" s="13" t="s">
        <v>81</v>
      </c>
      <c r="C129" s="14" t="str">
        <f t="shared" ref="C129:C133" si="87">L129</f>
        <v>ED-50997
PEI-GRA-005</v>
      </c>
      <c r="D129" s="15" t="s">
        <v>327</v>
      </c>
      <c r="E129" s="16" t="s">
        <v>296</v>
      </c>
      <c r="F129" s="17">
        <v>1.76</v>
      </c>
      <c r="G129" s="17">
        <f t="shared" ref="G129:G133" si="88">ROUND(M129*(1-$M$10),2)</f>
        <v>189.46</v>
      </c>
      <c r="H129" s="17">
        <f t="shared" ref="H129:H133" si="89">ROUND(G129*(IF(K129="O",(1+$F$10),(1+$F$19))),2)</f>
        <v>233.32</v>
      </c>
      <c r="I129" s="17">
        <f t="shared" ref="I129:I133" si="90">ROUND((F129*H129),2)</f>
        <v>410.64</v>
      </c>
      <c r="J129" s="101">
        <f t="shared" ref="J129:J138" si="91">I129/$I$284</f>
        <v>6.4279126440034632E-4</v>
      </c>
      <c r="K129" s="188" t="s">
        <v>192</v>
      </c>
      <c r="L129" s="187" t="s">
        <v>326</v>
      </c>
      <c r="M129" s="150">
        <v>199.43</v>
      </c>
      <c r="N129" s="154"/>
      <c r="O129" s="154"/>
      <c r="P129" s="154"/>
      <c r="Q129" s="150">
        <v>24.87</v>
      </c>
      <c r="R129" s="150"/>
    </row>
    <row r="130" spans="1:18" s="95" customFormat="1" ht="31.5">
      <c r="A130" s="61"/>
      <c r="B130" s="13" t="s">
        <v>82</v>
      </c>
      <c r="C130" s="14" t="str">
        <f t="shared" si="87"/>
        <v>ED-48533
DIV-PED-015</v>
      </c>
      <c r="D130" s="15" t="s">
        <v>67</v>
      </c>
      <c r="E130" s="16" t="s">
        <v>296</v>
      </c>
      <c r="F130" s="17">
        <v>14.96</v>
      </c>
      <c r="G130" s="17">
        <f t="shared" si="88"/>
        <v>507.35</v>
      </c>
      <c r="H130" s="17">
        <f t="shared" si="89"/>
        <v>624.79999999999995</v>
      </c>
      <c r="I130" s="17">
        <f t="shared" si="90"/>
        <v>9347.01</v>
      </c>
      <c r="J130" s="101">
        <f t="shared" si="91"/>
        <v>1.4631249698672027E-2</v>
      </c>
      <c r="K130" s="188" t="s">
        <v>192</v>
      </c>
      <c r="L130" s="187" t="s">
        <v>331</v>
      </c>
      <c r="M130" s="150">
        <v>534.04999999999995</v>
      </c>
      <c r="N130" s="154"/>
      <c r="O130" s="154"/>
      <c r="P130" s="154"/>
      <c r="Q130" s="150">
        <v>14.24</v>
      </c>
      <c r="R130" s="150"/>
    </row>
    <row r="131" spans="1:18" s="95" customFormat="1" ht="31.5">
      <c r="A131" s="61"/>
      <c r="B131" s="13" t="s">
        <v>83</v>
      </c>
      <c r="C131" s="14" t="str">
        <f t="shared" si="87"/>
        <v>ED-48343
BAN-GRA-005</v>
      </c>
      <c r="D131" s="15" t="s">
        <v>332</v>
      </c>
      <c r="E131" s="16" t="s">
        <v>296</v>
      </c>
      <c r="F131" s="17">
        <v>6.6</v>
      </c>
      <c r="G131" s="17">
        <f t="shared" si="88"/>
        <v>294.26</v>
      </c>
      <c r="H131" s="17">
        <f t="shared" si="89"/>
        <v>362.38</v>
      </c>
      <c r="I131" s="17">
        <f t="shared" si="90"/>
        <v>2391.71</v>
      </c>
      <c r="J131" s="101">
        <f t="shared" si="91"/>
        <v>3.7438396039814739E-3</v>
      </c>
      <c r="K131" s="188" t="s">
        <v>192</v>
      </c>
      <c r="L131" s="187" t="s">
        <v>328</v>
      </c>
      <c r="M131" s="150">
        <v>309.75</v>
      </c>
      <c r="N131" s="154"/>
      <c r="O131" s="154"/>
      <c r="P131" s="154"/>
      <c r="Q131" s="150">
        <v>27.22</v>
      </c>
      <c r="R131" s="150"/>
    </row>
    <row r="132" spans="1:18" s="95" customFormat="1" ht="31.5">
      <c r="A132" s="61"/>
      <c r="B132" s="13" t="s">
        <v>111</v>
      </c>
      <c r="C132" s="14" t="str">
        <f t="shared" si="87"/>
        <v>ED-48348
BAN-ROD-010</v>
      </c>
      <c r="D132" s="15" t="s">
        <v>73</v>
      </c>
      <c r="E132" s="16" t="s">
        <v>298</v>
      </c>
      <c r="F132" s="17">
        <v>14.05</v>
      </c>
      <c r="G132" s="17">
        <f t="shared" si="88"/>
        <v>28.15</v>
      </c>
      <c r="H132" s="17">
        <f t="shared" si="89"/>
        <v>34.67</v>
      </c>
      <c r="I132" s="17">
        <f t="shared" si="90"/>
        <v>487.11</v>
      </c>
      <c r="J132" s="101">
        <f t="shared" si="91"/>
        <v>7.624928229155774E-4</v>
      </c>
      <c r="K132" s="188" t="s">
        <v>192</v>
      </c>
      <c r="L132" s="187" t="s">
        <v>329</v>
      </c>
      <c r="M132" s="150">
        <v>29.63</v>
      </c>
      <c r="N132" s="154"/>
      <c r="O132" s="154"/>
      <c r="P132" s="154"/>
      <c r="Q132" s="150">
        <v>51.07</v>
      </c>
      <c r="R132" s="150"/>
    </row>
    <row r="133" spans="1:18" s="95" customFormat="1" ht="31.5">
      <c r="A133" s="61"/>
      <c r="B133" s="13" t="s">
        <v>112</v>
      </c>
      <c r="C133" s="14" t="str">
        <f t="shared" si="87"/>
        <v>ED-48351
BAN-TES-005</v>
      </c>
      <c r="D133" s="15" t="s">
        <v>74</v>
      </c>
      <c r="E133" s="16" t="s">
        <v>298</v>
      </c>
      <c r="F133" s="17">
        <v>7</v>
      </c>
      <c r="G133" s="17">
        <f t="shared" si="88"/>
        <v>9.61</v>
      </c>
      <c r="H133" s="17">
        <f t="shared" si="89"/>
        <v>11.83</v>
      </c>
      <c r="I133" s="17">
        <f t="shared" si="90"/>
        <v>82.81</v>
      </c>
      <c r="J133" s="101">
        <f t="shared" si="91"/>
        <v>1.2962581483779632E-4</v>
      </c>
      <c r="K133" s="188" t="s">
        <v>192</v>
      </c>
      <c r="L133" s="187" t="s">
        <v>330</v>
      </c>
      <c r="M133" s="150">
        <v>10.119999999999999</v>
      </c>
      <c r="N133" s="154"/>
      <c r="O133" s="154"/>
      <c r="P133" s="154"/>
      <c r="Q133" s="150">
        <v>25.2</v>
      </c>
      <c r="R133" s="150"/>
    </row>
    <row r="134" spans="1:18" s="95" customFormat="1" ht="31.5">
      <c r="A134" s="61"/>
      <c r="B134" s="13" t="s">
        <v>113</v>
      </c>
      <c r="C134" s="14" t="str">
        <f t="shared" ref="C134:C137" si="92">L134</f>
        <v>ED-50830
SEE-ALÇ-005</v>
      </c>
      <c r="D134" s="15" t="s">
        <v>334</v>
      </c>
      <c r="E134" s="16" t="s">
        <v>297</v>
      </c>
      <c r="F134" s="17">
        <v>1</v>
      </c>
      <c r="G134" s="17">
        <f t="shared" ref="G134:G137" si="93">ROUND(M134*(1-$M$10),2)</f>
        <v>194.89</v>
      </c>
      <c r="H134" s="17">
        <f t="shared" ref="H134:H137" si="94">ROUND(G134*(IF(K134="O",(1+$F$10),(1+$F$19))),2)</f>
        <v>240.01</v>
      </c>
      <c r="I134" s="17">
        <f t="shared" ref="I134:I137" si="95">ROUND((F134*H134),2)</f>
        <v>240.01</v>
      </c>
      <c r="J134" s="101">
        <f t="shared" si="91"/>
        <v>3.756972807537676E-4</v>
      </c>
      <c r="K134" s="188" t="s">
        <v>192</v>
      </c>
      <c r="L134" s="187" t="s">
        <v>333</v>
      </c>
      <c r="M134" s="150">
        <v>205.15</v>
      </c>
      <c r="N134" s="193"/>
      <c r="O134" s="193"/>
      <c r="P134" s="193"/>
      <c r="Q134" s="150">
        <v>3</v>
      </c>
      <c r="R134" s="150"/>
    </row>
    <row r="135" spans="1:18" s="95" customFormat="1" ht="31.5">
      <c r="A135" s="61"/>
      <c r="B135" s="13" t="s">
        <v>114</v>
      </c>
      <c r="C135" s="14" t="str">
        <f t="shared" si="92"/>
        <v>ED-49569
EQP-ESP-005</v>
      </c>
      <c r="D135" s="15" t="s">
        <v>432</v>
      </c>
      <c r="E135" s="16" t="s">
        <v>297</v>
      </c>
      <c r="F135" s="17">
        <f t="shared" ref="F135:F137" si="96">ROUND(Q135*$Q$10+R135*$R$10,2)</f>
        <v>2</v>
      </c>
      <c r="G135" s="17">
        <f t="shared" si="93"/>
        <v>580.69000000000005</v>
      </c>
      <c r="H135" s="17">
        <f t="shared" si="94"/>
        <v>715.12</v>
      </c>
      <c r="I135" s="17">
        <f t="shared" si="95"/>
        <v>1430.24</v>
      </c>
      <c r="J135" s="101">
        <f t="shared" si="91"/>
        <v>2.238812044603427E-3</v>
      </c>
      <c r="K135" s="188" t="s">
        <v>192</v>
      </c>
      <c r="L135" s="187" t="s">
        <v>429</v>
      </c>
      <c r="M135" s="150">
        <v>611.25</v>
      </c>
      <c r="N135" s="193"/>
      <c r="O135" s="193"/>
      <c r="P135" s="193"/>
      <c r="Q135" s="150"/>
      <c r="R135" s="150">
        <v>2</v>
      </c>
    </row>
    <row r="136" spans="1:18" s="95" customFormat="1" ht="31.5">
      <c r="A136" s="61"/>
      <c r="B136" s="13" t="s">
        <v>115</v>
      </c>
      <c r="C136" s="14" t="str">
        <f t="shared" si="92"/>
        <v>ED-49574
EQP-ESP-030</v>
      </c>
      <c r="D136" s="15" t="s">
        <v>433</v>
      </c>
      <c r="E136" s="16" t="s">
        <v>297</v>
      </c>
      <c r="F136" s="17">
        <f t="shared" si="96"/>
        <v>2</v>
      </c>
      <c r="G136" s="17">
        <f t="shared" si="93"/>
        <v>1262.8399999999999</v>
      </c>
      <c r="H136" s="17">
        <f t="shared" si="94"/>
        <v>1555.19</v>
      </c>
      <c r="I136" s="17">
        <f t="shared" si="95"/>
        <v>3110.38</v>
      </c>
      <c r="J136" s="101">
        <f t="shared" si="91"/>
        <v>4.868802583687778E-3</v>
      </c>
      <c r="K136" s="188" t="s">
        <v>192</v>
      </c>
      <c r="L136" s="187" t="s">
        <v>430</v>
      </c>
      <c r="M136" s="150">
        <v>1329.31</v>
      </c>
      <c r="N136" s="193"/>
      <c r="O136" s="193"/>
      <c r="P136" s="193"/>
      <c r="Q136" s="150"/>
      <c r="R136" s="150">
        <v>2</v>
      </c>
    </row>
    <row r="137" spans="1:18" s="95" customFormat="1" ht="31.5">
      <c r="A137" s="61"/>
      <c r="B137" s="13" t="s">
        <v>116</v>
      </c>
      <c r="C137" s="14" t="str">
        <f t="shared" si="92"/>
        <v>ED-49572
EQP-ESP-020</v>
      </c>
      <c r="D137" s="15" t="s">
        <v>435</v>
      </c>
      <c r="E137" s="16" t="s">
        <v>434</v>
      </c>
      <c r="F137" s="17">
        <f t="shared" si="96"/>
        <v>1</v>
      </c>
      <c r="G137" s="17">
        <f t="shared" si="93"/>
        <v>470.25</v>
      </c>
      <c r="H137" s="17">
        <f t="shared" si="94"/>
        <v>579.11</v>
      </c>
      <c r="I137" s="17">
        <f t="shared" si="95"/>
        <v>579.11</v>
      </c>
      <c r="J137" s="101">
        <f t="shared" si="91"/>
        <v>9.065041134007515E-4</v>
      </c>
      <c r="K137" s="188" t="s">
        <v>192</v>
      </c>
      <c r="L137" s="187" t="s">
        <v>431</v>
      </c>
      <c r="M137" s="150">
        <v>495</v>
      </c>
      <c r="N137" s="193"/>
      <c r="O137" s="193"/>
      <c r="P137" s="193"/>
      <c r="Q137" s="150"/>
      <c r="R137" s="150">
        <v>1</v>
      </c>
    </row>
    <row r="138" spans="1:18">
      <c r="B138" s="36"/>
      <c r="C138" s="37"/>
      <c r="D138" s="38" t="s">
        <v>84</v>
      </c>
      <c r="E138" s="37"/>
      <c r="F138" s="39"/>
      <c r="G138" s="40"/>
      <c r="H138" s="41"/>
      <c r="I138" s="18">
        <f>ROUND(SUM(I129:I137),2)</f>
        <v>18079.02</v>
      </c>
      <c r="J138" s="102">
        <f t="shared" si="91"/>
        <v>2.8299815227252945E-2</v>
      </c>
      <c r="K138" s="57"/>
      <c r="L138" s="187"/>
      <c r="M138" s="94"/>
      <c r="Q138" s="150"/>
      <c r="R138" s="150"/>
    </row>
    <row r="139" spans="1:18" ht="9.9499999999999993" customHeight="1">
      <c r="B139" s="127"/>
      <c r="C139" s="128"/>
      <c r="D139" s="128"/>
      <c r="E139" s="128"/>
      <c r="F139" s="129"/>
      <c r="G139" s="129"/>
      <c r="H139" s="129"/>
      <c r="I139" s="129"/>
      <c r="J139" s="130"/>
      <c r="K139" s="189"/>
      <c r="L139" s="187"/>
      <c r="M139" s="94"/>
      <c r="Q139" s="150"/>
      <c r="R139" s="150"/>
    </row>
    <row r="140" spans="1:18">
      <c r="B140" s="12" t="s">
        <v>85</v>
      </c>
      <c r="C140" s="22"/>
      <c r="D140" s="23" t="s">
        <v>92</v>
      </c>
      <c r="E140" s="19"/>
      <c r="F140" s="20"/>
      <c r="G140" s="21"/>
      <c r="H140" s="20"/>
      <c r="I140" s="21"/>
      <c r="J140" s="8"/>
      <c r="K140" s="190"/>
      <c r="L140" s="187"/>
      <c r="M140" s="94"/>
      <c r="Q140" s="150"/>
      <c r="R140" s="150"/>
    </row>
    <row r="141" spans="1:18" s="2" customFormat="1">
      <c r="A141" s="64"/>
      <c r="B141" s="58" t="s">
        <v>87</v>
      </c>
      <c r="C141" s="45"/>
      <c r="D141" s="59" t="s">
        <v>93</v>
      </c>
      <c r="E141" s="46"/>
      <c r="F141" s="47"/>
      <c r="G141" s="48"/>
      <c r="H141" s="49"/>
      <c r="I141" s="51"/>
      <c r="J141" s="27"/>
      <c r="K141" s="191"/>
      <c r="L141" s="187"/>
      <c r="M141" s="94"/>
      <c r="N141" s="100"/>
      <c r="O141" s="100"/>
      <c r="P141" s="100"/>
      <c r="Q141" s="150"/>
      <c r="R141" s="150"/>
    </row>
    <row r="142" spans="1:18" ht="31.5">
      <c r="B142" s="13" t="s">
        <v>117</v>
      </c>
      <c r="C142" s="14">
        <f t="shared" ref="C142:C152" si="97">L142</f>
        <v>100858</v>
      </c>
      <c r="D142" s="15" t="s">
        <v>443</v>
      </c>
      <c r="E142" s="16" t="s">
        <v>297</v>
      </c>
      <c r="F142" s="17">
        <f t="shared" ref="F142" si="98">ROUND(Q142*$Q$10+R142*$R$10,2)</f>
        <v>2</v>
      </c>
      <c r="G142" s="17">
        <f t="shared" ref="G142:G152" si="99">ROUND(M142*(1-$M$10),2)</f>
        <v>488.84</v>
      </c>
      <c r="H142" s="17">
        <f t="shared" ref="H142:H152" si="100">ROUND(G142*(IF(K142="O",(1+$F$10),(1+$F$19))),2)</f>
        <v>602.01</v>
      </c>
      <c r="I142" s="17">
        <f t="shared" ref="I142:I152" si="101">ROUND((F142*H142),2)</f>
        <v>1204.02</v>
      </c>
      <c r="J142" s="101">
        <f t="shared" ref="J142:J154" si="102">I142/$I$284</f>
        <v>1.8847008040212959E-3</v>
      </c>
      <c r="K142" s="188" t="s">
        <v>192</v>
      </c>
      <c r="L142" s="187">
        <v>100858</v>
      </c>
      <c r="M142" s="150">
        <v>514.57000000000005</v>
      </c>
      <c r="Q142" s="150">
        <v>2</v>
      </c>
      <c r="R142" s="150"/>
    </row>
    <row r="143" spans="1:18" ht="63">
      <c r="B143" s="13" t="s">
        <v>118</v>
      </c>
      <c r="C143" s="14">
        <f t="shared" si="97"/>
        <v>95470</v>
      </c>
      <c r="D143" s="15" t="s">
        <v>444</v>
      </c>
      <c r="E143" s="16" t="s">
        <v>297</v>
      </c>
      <c r="F143" s="17">
        <v>7</v>
      </c>
      <c r="G143" s="17">
        <f t="shared" si="99"/>
        <v>175.79</v>
      </c>
      <c r="H143" s="17">
        <f t="shared" si="100"/>
        <v>216.49</v>
      </c>
      <c r="I143" s="17">
        <f t="shared" si="101"/>
        <v>1515.43</v>
      </c>
      <c r="J143" s="101">
        <f t="shared" si="102"/>
        <v>2.3721633689124705E-3</v>
      </c>
      <c r="K143" s="188" t="s">
        <v>192</v>
      </c>
      <c r="L143" s="187">
        <v>95470</v>
      </c>
      <c r="M143" s="150">
        <v>185.04</v>
      </c>
      <c r="Q143" s="150">
        <v>13</v>
      </c>
      <c r="R143" s="150"/>
    </row>
    <row r="144" spans="1:18" ht="31.5">
      <c r="B144" s="13" t="s">
        <v>119</v>
      </c>
      <c r="C144" s="14">
        <f t="shared" si="97"/>
        <v>100849</v>
      </c>
      <c r="D144" s="15" t="s">
        <v>445</v>
      </c>
      <c r="E144" s="16" t="s">
        <v>297</v>
      </c>
      <c r="F144" s="17">
        <v>7</v>
      </c>
      <c r="G144" s="17">
        <f t="shared" si="99"/>
        <v>28.94</v>
      </c>
      <c r="H144" s="17">
        <f t="shared" si="100"/>
        <v>35.64</v>
      </c>
      <c r="I144" s="17">
        <f t="shared" si="101"/>
        <v>249.48</v>
      </c>
      <c r="J144" s="101">
        <f t="shared" si="102"/>
        <v>3.9052105163305667E-4</v>
      </c>
      <c r="K144" s="188" t="s">
        <v>192</v>
      </c>
      <c r="L144" s="187">
        <v>100849</v>
      </c>
      <c r="M144" s="150">
        <v>30.46</v>
      </c>
      <c r="Q144" s="150">
        <v>13</v>
      </c>
      <c r="R144" s="150"/>
    </row>
    <row r="145" spans="1:18" ht="47.25">
      <c r="B145" s="13" t="s">
        <v>120</v>
      </c>
      <c r="C145" s="14">
        <f t="shared" si="97"/>
        <v>100868</v>
      </c>
      <c r="D145" s="15" t="s">
        <v>446</v>
      </c>
      <c r="E145" s="16" t="s">
        <v>297</v>
      </c>
      <c r="F145" s="17">
        <v>1</v>
      </c>
      <c r="G145" s="17">
        <f t="shared" si="99"/>
        <v>254.56</v>
      </c>
      <c r="H145" s="17">
        <f t="shared" si="100"/>
        <v>313.49</v>
      </c>
      <c r="I145" s="17">
        <f t="shared" si="101"/>
        <v>313.49</v>
      </c>
      <c r="J145" s="101">
        <f t="shared" si="102"/>
        <v>4.9071847232823047E-4</v>
      </c>
      <c r="K145" s="188" t="s">
        <v>192</v>
      </c>
      <c r="L145" s="187">
        <v>100868</v>
      </c>
      <c r="M145" s="150">
        <v>267.95999999999998</v>
      </c>
      <c r="Q145" s="150">
        <v>8</v>
      </c>
      <c r="R145" s="150"/>
    </row>
    <row r="146" spans="1:18" ht="47.25">
      <c r="B146" s="13" t="s">
        <v>121</v>
      </c>
      <c r="C146" s="14">
        <f t="shared" si="97"/>
        <v>100867</v>
      </c>
      <c r="D146" s="15" t="s">
        <v>447</v>
      </c>
      <c r="E146" s="16" t="s">
        <v>297</v>
      </c>
      <c r="F146" s="17">
        <v>1</v>
      </c>
      <c r="G146" s="17">
        <f t="shared" si="99"/>
        <v>244.65</v>
      </c>
      <c r="H146" s="17">
        <f t="shared" si="100"/>
        <v>301.29000000000002</v>
      </c>
      <c r="I146" s="17">
        <f t="shared" si="101"/>
        <v>301.29000000000002</v>
      </c>
      <c r="J146" s="101">
        <f t="shared" si="102"/>
        <v>4.7162132293780527E-4</v>
      </c>
      <c r="K146" s="188" t="s">
        <v>192</v>
      </c>
      <c r="L146" s="187">
        <v>100867</v>
      </c>
      <c r="M146" s="150">
        <v>257.52999999999997</v>
      </c>
      <c r="Q146" s="150">
        <v>4</v>
      </c>
      <c r="R146" s="150"/>
    </row>
    <row r="147" spans="1:18" s="95" customFormat="1" ht="31.5">
      <c r="A147" s="61"/>
      <c r="B147" s="13" t="s">
        <v>122</v>
      </c>
      <c r="C147" s="14">
        <f t="shared" si="97"/>
        <v>95544</v>
      </c>
      <c r="D147" s="15" t="s">
        <v>448</v>
      </c>
      <c r="E147" s="16" t="s">
        <v>297</v>
      </c>
      <c r="F147" s="17">
        <v>7</v>
      </c>
      <c r="G147" s="17">
        <f t="shared" si="99"/>
        <v>29.04</v>
      </c>
      <c r="H147" s="17">
        <f t="shared" si="100"/>
        <v>35.76</v>
      </c>
      <c r="I147" s="17">
        <f t="shared" si="101"/>
        <v>250.32</v>
      </c>
      <c r="J147" s="101">
        <f t="shared" si="102"/>
        <v>3.9183593732879091E-4</v>
      </c>
      <c r="K147" s="188" t="s">
        <v>192</v>
      </c>
      <c r="L147" s="187">
        <v>95544</v>
      </c>
      <c r="M147" s="150">
        <v>30.57</v>
      </c>
      <c r="N147" s="154"/>
      <c r="O147" s="154"/>
      <c r="P147" s="154"/>
      <c r="Q147" s="150">
        <v>13</v>
      </c>
      <c r="R147" s="150"/>
    </row>
    <row r="148" spans="1:18" s="95" customFormat="1" ht="31.5">
      <c r="A148" s="61"/>
      <c r="B148" s="13" t="s">
        <v>123</v>
      </c>
      <c r="C148" s="14">
        <f t="shared" si="97"/>
        <v>100860</v>
      </c>
      <c r="D148" s="15" t="s">
        <v>449</v>
      </c>
      <c r="E148" s="16" t="s">
        <v>297</v>
      </c>
      <c r="F148" s="17">
        <v>5</v>
      </c>
      <c r="G148" s="17">
        <f t="shared" si="99"/>
        <v>62.32</v>
      </c>
      <c r="H148" s="17">
        <f t="shared" si="100"/>
        <v>76.75</v>
      </c>
      <c r="I148" s="17">
        <f t="shared" si="101"/>
        <v>383.75</v>
      </c>
      <c r="J148" s="101">
        <f t="shared" si="102"/>
        <v>6.0069926873571229E-4</v>
      </c>
      <c r="K148" s="188" t="s">
        <v>192</v>
      </c>
      <c r="L148" s="187">
        <v>100860</v>
      </c>
      <c r="M148" s="150">
        <v>65.599999999999994</v>
      </c>
      <c r="N148" s="154"/>
      <c r="O148" s="154"/>
      <c r="P148" s="154"/>
      <c r="Q148" s="150">
        <v>2</v>
      </c>
      <c r="R148" s="150"/>
    </row>
    <row r="149" spans="1:18" s="95" customFormat="1" ht="31.5">
      <c r="A149" s="61"/>
      <c r="B149" s="13" t="s">
        <v>436</v>
      </c>
      <c r="C149" s="14" t="str">
        <f>L149</f>
        <v>ED-48176
ACE-CAB-015</v>
      </c>
      <c r="D149" s="15" t="s">
        <v>162</v>
      </c>
      <c r="E149" s="16" t="s">
        <v>297</v>
      </c>
      <c r="F149" s="17">
        <v>5</v>
      </c>
      <c r="G149" s="17">
        <f>ROUND(M149*(1-$M$10),2)</f>
        <v>24.9</v>
      </c>
      <c r="H149" s="17">
        <f>ROUND(G149*(IF(K149="O",(1+$F$10),(1+$F$19))),2)</f>
        <v>30.66</v>
      </c>
      <c r="I149" s="17">
        <f>ROUND((F149*H149),2)</f>
        <v>153.30000000000001</v>
      </c>
      <c r="J149" s="101">
        <f t="shared" si="102"/>
        <v>2.399666394714911E-4</v>
      </c>
      <c r="K149" s="188" t="s">
        <v>192</v>
      </c>
      <c r="L149" s="187" t="s">
        <v>441</v>
      </c>
      <c r="M149" s="150">
        <v>26.21</v>
      </c>
      <c r="N149" s="154"/>
      <c r="O149" s="154"/>
      <c r="P149" s="154"/>
      <c r="Q149" s="150">
        <v>2</v>
      </c>
      <c r="R149" s="150"/>
    </row>
    <row r="150" spans="1:18" s="95" customFormat="1" ht="31.5">
      <c r="A150" s="61"/>
      <c r="B150" s="13" t="s">
        <v>437</v>
      </c>
      <c r="C150" s="14">
        <f>L150</f>
        <v>95545</v>
      </c>
      <c r="D150" s="15" t="s">
        <v>450</v>
      </c>
      <c r="E150" s="16" t="s">
        <v>297</v>
      </c>
      <c r="F150" s="17">
        <v>5</v>
      </c>
      <c r="G150" s="17">
        <f>ROUND(M150*(1-$M$10),2)</f>
        <v>28.48</v>
      </c>
      <c r="H150" s="17">
        <f>ROUND(G150*(IF(K150="O",(1+$F$10),(1+$F$19))),2)</f>
        <v>35.07</v>
      </c>
      <c r="I150" s="17">
        <f>ROUND((F150*H150),2)</f>
        <v>175.35</v>
      </c>
      <c r="J150" s="101">
        <f t="shared" si="102"/>
        <v>2.7448238898451375E-4</v>
      </c>
      <c r="K150" s="188" t="s">
        <v>192</v>
      </c>
      <c r="L150" s="187">
        <v>95545</v>
      </c>
      <c r="M150" s="150">
        <v>29.98</v>
      </c>
      <c r="N150" s="154"/>
      <c r="O150" s="154"/>
      <c r="P150" s="154"/>
      <c r="Q150" s="150">
        <v>2</v>
      </c>
      <c r="R150" s="150"/>
    </row>
    <row r="151" spans="1:18" s="95" customFormat="1" ht="63">
      <c r="A151" s="61"/>
      <c r="B151" s="13" t="s">
        <v>438</v>
      </c>
      <c r="C151" s="14">
        <f t="shared" si="97"/>
        <v>86938</v>
      </c>
      <c r="D151" s="15" t="s">
        <v>451</v>
      </c>
      <c r="E151" s="16" t="s">
        <v>297</v>
      </c>
      <c r="F151" s="17">
        <v>7</v>
      </c>
      <c r="G151" s="17">
        <f t="shared" si="99"/>
        <v>252.53</v>
      </c>
      <c r="H151" s="17">
        <f t="shared" si="100"/>
        <v>310.99</v>
      </c>
      <c r="I151" s="17">
        <f t="shared" si="101"/>
        <v>2176.9299999999998</v>
      </c>
      <c r="J151" s="101">
        <f t="shared" si="102"/>
        <v>3.4076358543031508E-3</v>
      </c>
      <c r="K151" s="188" t="s">
        <v>192</v>
      </c>
      <c r="L151" s="187">
        <v>86938</v>
      </c>
      <c r="M151" s="150">
        <v>265.82</v>
      </c>
      <c r="N151" s="154"/>
      <c r="O151" s="154"/>
      <c r="P151" s="154"/>
      <c r="Q151" s="150">
        <v>15</v>
      </c>
      <c r="R151" s="150"/>
    </row>
    <row r="152" spans="1:18" s="95" customFormat="1" ht="47.25">
      <c r="A152" s="61"/>
      <c r="B152" s="13" t="s">
        <v>439</v>
      </c>
      <c r="C152" s="14">
        <f t="shared" si="97"/>
        <v>86915</v>
      </c>
      <c r="D152" s="15" t="s">
        <v>452</v>
      </c>
      <c r="E152" s="16" t="s">
        <v>297</v>
      </c>
      <c r="F152" s="17">
        <v>7</v>
      </c>
      <c r="G152" s="17">
        <f t="shared" si="99"/>
        <v>69.87</v>
      </c>
      <c r="H152" s="17">
        <f t="shared" si="100"/>
        <v>86.04</v>
      </c>
      <c r="I152" s="17">
        <f t="shared" si="101"/>
        <v>602.28</v>
      </c>
      <c r="J152" s="101">
        <f t="shared" si="102"/>
        <v>9.4277304384141969E-4</v>
      </c>
      <c r="K152" s="188" t="s">
        <v>192</v>
      </c>
      <c r="L152" s="187">
        <v>86915</v>
      </c>
      <c r="M152" s="150">
        <v>73.55</v>
      </c>
      <c r="N152" s="154"/>
      <c r="O152" s="154"/>
      <c r="P152" s="154"/>
      <c r="Q152" s="150">
        <v>15</v>
      </c>
      <c r="R152" s="150"/>
    </row>
    <row r="153" spans="1:18" ht="31.5">
      <c r="B153" s="13" t="s">
        <v>440</v>
      </c>
      <c r="C153" s="14" t="str">
        <f>L153</f>
        <v>ED-48182
ACE-PAP-020</v>
      </c>
      <c r="D153" s="15" t="s">
        <v>453</v>
      </c>
      <c r="E153" s="16" t="s">
        <v>297</v>
      </c>
      <c r="F153" s="17">
        <v>7</v>
      </c>
      <c r="G153" s="17">
        <f>ROUND(M153*(1-$M$10),2)</f>
        <v>34.25</v>
      </c>
      <c r="H153" s="17">
        <f>ROUND(G153*(IF(K153="O",(1+$F$10),(1+$F$19))),2)</f>
        <v>42.18</v>
      </c>
      <c r="I153" s="17">
        <f>ROUND((F153*H153),2)</f>
        <v>295.26</v>
      </c>
      <c r="J153" s="101">
        <f t="shared" si="102"/>
        <v>4.6218232205057046E-4</v>
      </c>
      <c r="K153" s="188" t="s">
        <v>192</v>
      </c>
      <c r="L153" s="187" t="s">
        <v>442</v>
      </c>
      <c r="M153" s="150">
        <v>36.049999999999997</v>
      </c>
      <c r="Q153" s="150">
        <v>6</v>
      </c>
      <c r="R153" s="150"/>
    </row>
    <row r="154" spans="1:18" s="95" customFormat="1">
      <c r="A154" s="61"/>
      <c r="B154" s="36"/>
      <c r="C154" s="37"/>
      <c r="D154" s="38" t="s">
        <v>14</v>
      </c>
      <c r="E154" s="37"/>
      <c r="F154" s="39"/>
      <c r="G154" s="50"/>
      <c r="H154" s="9"/>
      <c r="I154" s="18">
        <f>ROUND(SUM(I142:I153),2)</f>
        <v>7620.9</v>
      </c>
      <c r="J154" s="102">
        <f t="shared" si="102"/>
        <v>1.1929300474548507E-2</v>
      </c>
      <c r="K154" s="57"/>
      <c r="L154" s="187"/>
      <c r="M154" s="94"/>
      <c r="N154" s="154"/>
      <c r="O154" s="154"/>
      <c r="P154" s="154"/>
      <c r="Q154" s="150"/>
      <c r="R154" s="150"/>
    </row>
    <row r="155" spans="1:18" s="95" customFormat="1" ht="9.9499999999999993" customHeight="1">
      <c r="A155" s="61"/>
      <c r="B155" s="131"/>
      <c r="C155" s="132"/>
      <c r="D155" s="133"/>
      <c r="E155" s="132"/>
      <c r="F155" s="134"/>
      <c r="G155" s="135"/>
      <c r="H155" s="135"/>
      <c r="I155" s="136"/>
      <c r="J155" s="137"/>
      <c r="K155" s="57"/>
      <c r="L155" s="187"/>
      <c r="M155" s="94"/>
      <c r="N155" s="154"/>
      <c r="O155" s="154"/>
      <c r="P155" s="154"/>
      <c r="Q155" s="150"/>
      <c r="R155" s="150"/>
    </row>
    <row r="156" spans="1:18" s="95" customFormat="1">
      <c r="A156" s="61"/>
      <c r="B156" s="58" t="s">
        <v>88</v>
      </c>
      <c r="C156" s="60"/>
      <c r="D156" s="59" t="s">
        <v>96</v>
      </c>
      <c r="E156" s="46"/>
      <c r="F156" s="47"/>
      <c r="G156" s="51"/>
      <c r="H156" s="51"/>
      <c r="I156" s="51"/>
      <c r="J156" s="27"/>
      <c r="K156" s="191"/>
      <c r="L156" s="187"/>
      <c r="M156" s="94"/>
      <c r="N156" s="154"/>
      <c r="O156" s="154"/>
      <c r="P156" s="154"/>
      <c r="Q156" s="150"/>
      <c r="R156" s="150"/>
    </row>
    <row r="157" spans="1:18" s="95" customFormat="1" ht="63">
      <c r="A157" s="61"/>
      <c r="B157" s="13" t="s">
        <v>124</v>
      </c>
      <c r="C157" s="14" t="str">
        <f t="shared" ref="C157:C172" si="103">L157</f>
        <v>89724</v>
      </c>
      <c r="D157" s="15" t="s">
        <v>506</v>
      </c>
      <c r="E157" s="16" t="s">
        <v>297</v>
      </c>
      <c r="F157" s="17">
        <v>11</v>
      </c>
      <c r="G157" s="17">
        <f t="shared" ref="G157:G172" si="104">ROUND(M157*(1-$M$10),2)</f>
        <v>6.27</v>
      </c>
      <c r="H157" s="17">
        <f t="shared" ref="H157:H172" si="105">ROUND(G157*(IF(K157="O",(1+$F$10),(1+$F$19))),2)</f>
        <v>7.72</v>
      </c>
      <c r="I157" s="17">
        <f t="shared" ref="I157:I172" si="106">ROUND((F157*H157),2)</f>
        <v>84.92</v>
      </c>
      <c r="J157" s="101">
        <f t="shared" ref="J157:J173" si="107">I157/$I$284</f>
        <v>1.329286824782715E-4</v>
      </c>
      <c r="K157" s="188" t="s">
        <v>192</v>
      </c>
      <c r="L157" s="187" t="s">
        <v>522</v>
      </c>
      <c r="M157" s="150">
        <v>6.6</v>
      </c>
      <c r="N157" s="154"/>
      <c r="O157" s="154"/>
      <c r="P157" s="154"/>
      <c r="Q157" s="150">
        <v>33</v>
      </c>
      <c r="R157" s="150"/>
    </row>
    <row r="158" spans="1:18" s="95" customFormat="1" ht="63">
      <c r="A158" s="61"/>
      <c r="B158" s="13" t="s">
        <v>491</v>
      </c>
      <c r="C158" s="14" t="str">
        <f t="shared" si="103"/>
        <v>89726</v>
      </c>
      <c r="D158" s="15" t="s">
        <v>507</v>
      </c>
      <c r="E158" s="16" t="s">
        <v>297</v>
      </c>
      <c r="F158" s="17">
        <v>27</v>
      </c>
      <c r="G158" s="17">
        <f t="shared" si="104"/>
        <v>4.62</v>
      </c>
      <c r="H158" s="17">
        <f t="shared" si="105"/>
        <v>5.69</v>
      </c>
      <c r="I158" s="17">
        <f t="shared" si="106"/>
        <v>153.63</v>
      </c>
      <c r="J158" s="101">
        <f t="shared" si="107"/>
        <v>2.4048320170910091E-4</v>
      </c>
      <c r="K158" s="188" t="s">
        <v>192</v>
      </c>
      <c r="L158" s="187" t="s">
        <v>523</v>
      </c>
      <c r="M158" s="150">
        <v>4.8600000000000003</v>
      </c>
      <c r="N158" s="193"/>
      <c r="O158" s="193"/>
      <c r="P158" s="193"/>
      <c r="Q158" s="150">
        <v>3</v>
      </c>
      <c r="R158" s="150"/>
    </row>
    <row r="159" spans="1:18" s="95" customFormat="1" ht="63">
      <c r="A159" s="61"/>
      <c r="B159" s="13" t="s">
        <v>492</v>
      </c>
      <c r="C159" s="14" t="str">
        <f t="shared" si="103"/>
        <v>89731</v>
      </c>
      <c r="D159" s="15" t="s">
        <v>508</v>
      </c>
      <c r="E159" s="16" t="s">
        <v>297</v>
      </c>
      <c r="F159" s="17">
        <v>2</v>
      </c>
      <c r="G159" s="17">
        <f t="shared" si="104"/>
        <v>6.9</v>
      </c>
      <c r="H159" s="17">
        <f t="shared" si="105"/>
        <v>8.5</v>
      </c>
      <c r="I159" s="17">
        <f t="shared" si="106"/>
        <v>17</v>
      </c>
      <c r="J159" s="101">
        <f t="shared" si="107"/>
        <v>2.6610781937477808E-5</v>
      </c>
      <c r="K159" s="188" t="s">
        <v>192</v>
      </c>
      <c r="L159" s="187" t="s">
        <v>524</v>
      </c>
      <c r="M159" s="150">
        <v>7.26</v>
      </c>
      <c r="N159" s="193"/>
      <c r="O159" s="193"/>
      <c r="P159" s="193"/>
      <c r="Q159" s="150">
        <v>21</v>
      </c>
      <c r="R159" s="150"/>
    </row>
    <row r="160" spans="1:18" s="95" customFormat="1" ht="63">
      <c r="A160" s="61"/>
      <c r="B160" s="13" t="s">
        <v>493</v>
      </c>
      <c r="C160" s="14" t="str">
        <f t="shared" si="103"/>
        <v>89732</v>
      </c>
      <c r="D160" s="15" t="s">
        <v>509</v>
      </c>
      <c r="E160" s="16" t="s">
        <v>297</v>
      </c>
      <c r="F160" s="17">
        <v>1</v>
      </c>
      <c r="G160" s="17">
        <f t="shared" si="104"/>
        <v>7.29</v>
      </c>
      <c r="H160" s="17">
        <f t="shared" si="105"/>
        <v>8.98</v>
      </c>
      <c r="I160" s="17">
        <f t="shared" si="106"/>
        <v>8.98</v>
      </c>
      <c r="J160" s="101">
        <f t="shared" si="107"/>
        <v>1.4056754223444161E-5</v>
      </c>
      <c r="K160" s="188" t="s">
        <v>192</v>
      </c>
      <c r="L160" s="187" t="s">
        <v>525</v>
      </c>
      <c r="M160" s="150">
        <v>7.67</v>
      </c>
      <c r="N160" s="193"/>
      <c r="O160" s="193"/>
      <c r="P160" s="193"/>
      <c r="Q160" s="150">
        <v>3</v>
      </c>
      <c r="R160" s="150"/>
    </row>
    <row r="161" spans="1:18" s="95" customFormat="1" ht="63">
      <c r="A161" s="61"/>
      <c r="B161" s="13" t="s">
        <v>494</v>
      </c>
      <c r="C161" s="14" t="str">
        <f t="shared" si="103"/>
        <v>89744</v>
      </c>
      <c r="D161" s="15" t="s">
        <v>510</v>
      </c>
      <c r="E161" s="16" t="s">
        <v>297</v>
      </c>
      <c r="F161" s="17">
        <v>7</v>
      </c>
      <c r="G161" s="17">
        <f t="shared" si="104"/>
        <v>15.44</v>
      </c>
      <c r="H161" s="17">
        <f t="shared" si="105"/>
        <v>19.010000000000002</v>
      </c>
      <c r="I161" s="17">
        <f t="shared" si="106"/>
        <v>133.07</v>
      </c>
      <c r="J161" s="101">
        <f t="shared" si="107"/>
        <v>2.0829980896589246E-4</v>
      </c>
      <c r="K161" s="188" t="s">
        <v>192</v>
      </c>
      <c r="L161" s="187" t="s">
        <v>526</v>
      </c>
      <c r="M161" s="150">
        <v>16.25</v>
      </c>
      <c r="N161" s="193"/>
      <c r="O161" s="193"/>
      <c r="P161" s="193"/>
      <c r="Q161" s="150">
        <v>11</v>
      </c>
      <c r="R161" s="150"/>
    </row>
    <row r="162" spans="1:18" s="95" customFormat="1" ht="63">
      <c r="A162" s="61"/>
      <c r="B162" s="13" t="s">
        <v>495</v>
      </c>
      <c r="C162" s="14" t="str">
        <f t="shared" si="103"/>
        <v>89746</v>
      </c>
      <c r="D162" s="15" t="s">
        <v>511</v>
      </c>
      <c r="E162" s="16" t="s">
        <v>297</v>
      </c>
      <c r="F162" s="17">
        <f t="shared" ref="F162" si="108">ROUND(Q162*$Q$10+R162*$R$10,2)</f>
        <v>11</v>
      </c>
      <c r="G162" s="17">
        <f t="shared" si="104"/>
        <v>15.4</v>
      </c>
      <c r="H162" s="17">
        <f t="shared" si="105"/>
        <v>18.97</v>
      </c>
      <c r="I162" s="17">
        <f t="shared" si="106"/>
        <v>208.67</v>
      </c>
      <c r="J162" s="101">
        <f t="shared" si="107"/>
        <v>3.2663952158197026E-4</v>
      </c>
      <c r="K162" s="188" t="s">
        <v>192</v>
      </c>
      <c r="L162" s="187" t="s">
        <v>527</v>
      </c>
      <c r="M162" s="150">
        <v>16.21</v>
      </c>
      <c r="N162" s="193"/>
      <c r="O162" s="193"/>
      <c r="P162" s="193"/>
      <c r="Q162" s="150">
        <v>11</v>
      </c>
      <c r="R162" s="150"/>
    </row>
    <row r="163" spans="1:18" s="95" customFormat="1" ht="63">
      <c r="A163" s="61"/>
      <c r="B163" s="13" t="s">
        <v>496</v>
      </c>
      <c r="C163" s="14" t="str">
        <f t="shared" ref="C163:C168" si="109">L163</f>
        <v>89797</v>
      </c>
      <c r="D163" s="15" t="s">
        <v>512</v>
      </c>
      <c r="E163" s="16" t="s">
        <v>297</v>
      </c>
      <c r="F163" s="17">
        <v>4</v>
      </c>
      <c r="G163" s="17">
        <f t="shared" ref="G163:G168" si="110">ROUND(M163*(1-$M$10),2)</f>
        <v>28.95</v>
      </c>
      <c r="H163" s="17">
        <f t="shared" ref="H163:H168" si="111">ROUND(G163*(IF(K163="O",(1+$F$10),(1+$F$19))),2)</f>
        <v>35.65</v>
      </c>
      <c r="I163" s="17">
        <f t="shared" ref="I163:I168" si="112">ROUND((F163*H163),2)</f>
        <v>142.6</v>
      </c>
      <c r="J163" s="101">
        <f t="shared" si="107"/>
        <v>2.2321750025201974E-4</v>
      </c>
      <c r="K163" s="188" t="s">
        <v>192</v>
      </c>
      <c r="L163" s="187" t="s">
        <v>528</v>
      </c>
      <c r="M163" s="150">
        <v>30.47</v>
      </c>
      <c r="N163" s="193"/>
      <c r="O163" s="193"/>
      <c r="P163" s="193"/>
      <c r="Q163" s="150">
        <v>11</v>
      </c>
      <c r="R163" s="150"/>
    </row>
    <row r="164" spans="1:18" s="95" customFormat="1" ht="47.25">
      <c r="A164" s="61"/>
      <c r="B164" s="13" t="s">
        <v>497</v>
      </c>
      <c r="C164" s="14" t="str">
        <f t="shared" si="109"/>
        <v>89784</v>
      </c>
      <c r="D164" s="15" t="s">
        <v>513</v>
      </c>
      <c r="E164" s="16" t="s">
        <v>297</v>
      </c>
      <c r="F164" s="17">
        <v>2</v>
      </c>
      <c r="G164" s="17">
        <f t="shared" si="110"/>
        <v>12.41</v>
      </c>
      <c r="H164" s="17">
        <f t="shared" si="111"/>
        <v>15.28</v>
      </c>
      <c r="I164" s="17">
        <f t="shared" si="112"/>
        <v>30.56</v>
      </c>
      <c r="J164" s="101">
        <f t="shared" si="107"/>
        <v>4.7836793882901286E-5</v>
      </c>
      <c r="K164" s="188" t="s">
        <v>192</v>
      </c>
      <c r="L164" s="187" t="s">
        <v>529</v>
      </c>
      <c r="M164" s="150">
        <v>13.06</v>
      </c>
      <c r="N164" s="193"/>
      <c r="O164" s="193"/>
      <c r="P164" s="193"/>
      <c r="Q164" s="150">
        <v>2</v>
      </c>
      <c r="R164" s="150"/>
    </row>
    <row r="165" spans="1:18" s="95" customFormat="1" ht="47.25">
      <c r="A165" s="61"/>
      <c r="B165" s="13" t="s">
        <v>498</v>
      </c>
      <c r="C165" s="14" t="str">
        <f t="shared" si="109"/>
        <v>89752</v>
      </c>
      <c r="D165" s="15" t="s">
        <v>514</v>
      </c>
      <c r="E165" s="16" t="s">
        <v>297</v>
      </c>
      <c r="F165" s="17">
        <f t="shared" ref="F165:F166" si="113">ROUND(Q165*$Q$10+R165*$R$10,2)</f>
        <v>3</v>
      </c>
      <c r="G165" s="17">
        <f t="shared" si="110"/>
        <v>3.87</v>
      </c>
      <c r="H165" s="17">
        <f t="shared" si="111"/>
        <v>4.7699999999999996</v>
      </c>
      <c r="I165" s="17">
        <f t="shared" si="112"/>
        <v>14.31</v>
      </c>
      <c r="J165" s="101">
        <f t="shared" si="107"/>
        <v>2.2400017030900438E-5</v>
      </c>
      <c r="K165" s="188" t="s">
        <v>192</v>
      </c>
      <c r="L165" s="187" t="s">
        <v>530</v>
      </c>
      <c r="M165" s="150">
        <v>4.07</v>
      </c>
      <c r="N165" s="193"/>
      <c r="O165" s="193"/>
      <c r="P165" s="193"/>
      <c r="Q165" s="150">
        <v>3</v>
      </c>
      <c r="R165" s="150"/>
    </row>
    <row r="166" spans="1:18" s="95" customFormat="1" ht="47.25">
      <c r="A166" s="61"/>
      <c r="B166" s="13" t="s">
        <v>499</v>
      </c>
      <c r="C166" s="14" t="str">
        <f t="shared" si="109"/>
        <v>89753</v>
      </c>
      <c r="D166" s="15" t="s">
        <v>515</v>
      </c>
      <c r="E166" s="16" t="s">
        <v>297</v>
      </c>
      <c r="F166" s="17">
        <f t="shared" si="113"/>
        <v>6</v>
      </c>
      <c r="G166" s="17">
        <f t="shared" si="110"/>
        <v>5.63</v>
      </c>
      <c r="H166" s="17">
        <f t="shared" si="111"/>
        <v>6.93</v>
      </c>
      <c r="I166" s="17">
        <f t="shared" si="112"/>
        <v>41.58</v>
      </c>
      <c r="J166" s="101">
        <f t="shared" si="107"/>
        <v>6.5086841938842774E-5</v>
      </c>
      <c r="K166" s="188" t="s">
        <v>192</v>
      </c>
      <c r="L166" s="187" t="s">
        <v>531</v>
      </c>
      <c r="M166" s="150">
        <v>5.93</v>
      </c>
      <c r="N166" s="193"/>
      <c r="O166" s="193"/>
      <c r="P166" s="193"/>
      <c r="Q166" s="150">
        <v>6</v>
      </c>
      <c r="R166" s="150"/>
    </row>
    <row r="167" spans="1:18" s="95" customFormat="1" ht="63">
      <c r="A167" s="61"/>
      <c r="B167" s="13" t="s">
        <v>500</v>
      </c>
      <c r="C167" s="14" t="str">
        <f t="shared" si="109"/>
        <v>89778</v>
      </c>
      <c r="D167" s="15" t="s">
        <v>516</v>
      </c>
      <c r="E167" s="16" t="s">
        <v>297</v>
      </c>
      <c r="F167" s="17">
        <v>6</v>
      </c>
      <c r="G167" s="17">
        <f t="shared" si="110"/>
        <v>11.77</v>
      </c>
      <c r="H167" s="17">
        <f t="shared" si="111"/>
        <v>14.49</v>
      </c>
      <c r="I167" s="17">
        <f t="shared" si="112"/>
        <v>86.94</v>
      </c>
      <c r="J167" s="101">
        <f t="shared" si="107"/>
        <v>1.3609066950848945E-4</v>
      </c>
      <c r="K167" s="188" t="s">
        <v>192</v>
      </c>
      <c r="L167" s="187" t="s">
        <v>532</v>
      </c>
      <c r="M167" s="150">
        <v>12.39</v>
      </c>
      <c r="N167" s="193"/>
      <c r="O167" s="193"/>
      <c r="P167" s="193"/>
      <c r="Q167" s="150">
        <v>12</v>
      </c>
      <c r="R167" s="150"/>
    </row>
    <row r="168" spans="1:18" s="95" customFormat="1" ht="47.25">
      <c r="A168" s="61"/>
      <c r="B168" s="13" t="s">
        <v>501</v>
      </c>
      <c r="C168" s="14" t="str">
        <f t="shared" si="109"/>
        <v>89711</v>
      </c>
      <c r="D168" s="15" t="s">
        <v>517</v>
      </c>
      <c r="E168" s="16" t="s">
        <v>298</v>
      </c>
      <c r="F168" s="17">
        <v>24.6</v>
      </c>
      <c r="G168" s="17">
        <f t="shared" si="110"/>
        <v>12.7</v>
      </c>
      <c r="H168" s="17">
        <f t="shared" si="111"/>
        <v>15.64</v>
      </c>
      <c r="I168" s="17">
        <f t="shared" si="112"/>
        <v>384.74</v>
      </c>
      <c r="J168" s="101">
        <f t="shared" si="107"/>
        <v>6.022489554485419E-4</v>
      </c>
      <c r="K168" s="188" t="s">
        <v>192</v>
      </c>
      <c r="L168" s="187" t="s">
        <v>533</v>
      </c>
      <c r="M168" s="150">
        <v>13.37</v>
      </c>
      <c r="N168" s="193"/>
      <c r="O168" s="193"/>
      <c r="P168" s="193"/>
      <c r="Q168" s="150">
        <v>24</v>
      </c>
      <c r="R168" s="150"/>
    </row>
    <row r="169" spans="1:18" s="95" customFormat="1" ht="47.25">
      <c r="A169" s="61"/>
      <c r="B169" s="13" t="s">
        <v>502</v>
      </c>
      <c r="C169" s="14" t="str">
        <f t="shared" si="103"/>
        <v>89712</v>
      </c>
      <c r="D169" s="15" t="s">
        <v>518</v>
      </c>
      <c r="E169" s="16" t="s">
        <v>298</v>
      </c>
      <c r="F169" s="17">
        <v>11.3</v>
      </c>
      <c r="G169" s="17">
        <f t="shared" si="104"/>
        <v>18.64</v>
      </c>
      <c r="H169" s="17">
        <f t="shared" si="105"/>
        <v>22.96</v>
      </c>
      <c r="I169" s="17">
        <f t="shared" si="106"/>
        <v>259.45</v>
      </c>
      <c r="J169" s="101">
        <f t="shared" si="107"/>
        <v>4.0612749256933043E-4</v>
      </c>
      <c r="K169" s="188" t="s">
        <v>192</v>
      </c>
      <c r="L169" s="187" t="s">
        <v>534</v>
      </c>
      <c r="M169" s="150">
        <v>19.62</v>
      </c>
      <c r="N169" s="154"/>
      <c r="O169" s="154"/>
      <c r="P169" s="154"/>
      <c r="Q169" s="150">
        <v>18</v>
      </c>
      <c r="R169" s="150"/>
    </row>
    <row r="170" spans="1:18" s="95" customFormat="1" ht="47.25">
      <c r="A170" s="61"/>
      <c r="B170" s="13" t="s">
        <v>503</v>
      </c>
      <c r="C170" s="14" t="str">
        <f t="shared" si="103"/>
        <v>89714</v>
      </c>
      <c r="D170" s="15" t="s">
        <v>519</v>
      </c>
      <c r="E170" s="16" t="s">
        <v>298</v>
      </c>
      <c r="F170" s="17">
        <v>48.8</v>
      </c>
      <c r="G170" s="17">
        <f t="shared" si="104"/>
        <v>36</v>
      </c>
      <c r="H170" s="17">
        <f t="shared" si="105"/>
        <v>44.33</v>
      </c>
      <c r="I170" s="17">
        <f t="shared" si="106"/>
        <v>2163.3000000000002</v>
      </c>
      <c r="J170" s="101">
        <f t="shared" si="107"/>
        <v>3.3863002685497498E-3</v>
      </c>
      <c r="K170" s="188" t="s">
        <v>192</v>
      </c>
      <c r="L170" s="187" t="s">
        <v>535</v>
      </c>
      <c r="M170" s="150">
        <v>37.89</v>
      </c>
      <c r="N170" s="154"/>
      <c r="O170" s="154"/>
      <c r="P170" s="154"/>
      <c r="Q170" s="150">
        <v>72</v>
      </c>
      <c r="R170" s="150"/>
    </row>
    <row r="171" spans="1:18" s="95" customFormat="1" ht="63">
      <c r="A171" s="61"/>
      <c r="B171" s="13" t="s">
        <v>504</v>
      </c>
      <c r="C171" s="14" t="str">
        <f t="shared" si="103"/>
        <v>89707</v>
      </c>
      <c r="D171" s="15" t="s">
        <v>520</v>
      </c>
      <c r="E171" s="16" t="s">
        <v>297</v>
      </c>
      <c r="F171" s="17">
        <v>6</v>
      </c>
      <c r="G171" s="17">
        <f t="shared" si="104"/>
        <v>20.04</v>
      </c>
      <c r="H171" s="17">
        <f t="shared" si="105"/>
        <v>24.68</v>
      </c>
      <c r="I171" s="17">
        <f t="shared" si="106"/>
        <v>148.08000000000001</v>
      </c>
      <c r="J171" s="101">
        <f t="shared" si="107"/>
        <v>2.3179556407657142E-4</v>
      </c>
      <c r="K171" s="188" t="s">
        <v>192</v>
      </c>
      <c r="L171" s="187" t="s">
        <v>536</v>
      </c>
      <c r="M171" s="150">
        <v>21.09</v>
      </c>
      <c r="N171" s="154"/>
      <c r="O171" s="154"/>
      <c r="P171" s="154"/>
      <c r="Q171" s="150">
        <v>3</v>
      </c>
      <c r="R171" s="150"/>
    </row>
    <row r="172" spans="1:18" s="95" customFormat="1" ht="47.25">
      <c r="A172" s="61"/>
      <c r="B172" s="13" t="s">
        <v>505</v>
      </c>
      <c r="C172" s="14" t="str">
        <f t="shared" si="103"/>
        <v>97906</v>
      </c>
      <c r="D172" s="15" t="s">
        <v>521</v>
      </c>
      <c r="E172" s="16" t="s">
        <v>297</v>
      </c>
      <c r="F172" s="17">
        <v>3</v>
      </c>
      <c r="G172" s="17">
        <f t="shared" si="104"/>
        <v>288.23</v>
      </c>
      <c r="H172" s="17">
        <f t="shared" si="105"/>
        <v>354.96</v>
      </c>
      <c r="I172" s="17">
        <f t="shared" si="106"/>
        <v>1064.8800000000001</v>
      </c>
      <c r="J172" s="101">
        <f t="shared" si="107"/>
        <v>1.6668993805636103E-3</v>
      </c>
      <c r="K172" s="188" t="s">
        <v>192</v>
      </c>
      <c r="L172" s="187" t="s">
        <v>537</v>
      </c>
      <c r="M172" s="150">
        <v>303.39999999999998</v>
      </c>
      <c r="N172" s="154"/>
      <c r="O172" s="154"/>
      <c r="P172" s="154"/>
      <c r="Q172" s="150">
        <v>8</v>
      </c>
      <c r="R172" s="150"/>
    </row>
    <row r="173" spans="1:18" s="95" customFormat="1">
      <c r="A173" s="61"/>
      <c r="B173" s="36"/>
      <c r="C173" s="37"/>
      <c r="D173" s="38" t="s">
        <v>14</v>
      </c>
      <c r="E173" s="37"/>
      <c r="F173" s="39"/>
      <c r="G173" s="40"/>
      <c r="H173" s="41"/>
      <c r="I173" s="18">
        <f>ROUND(SUM(I157:I172),2)</f>
        <v>4942.71</v>
      </c>
      <c r="J173" s="102">
        <f t="shared" si="107"/>
        <v>7.7370222347171143E-3</v>
      </c>
      <c r="K173" s="57"/>
      <c r="L173" s="187"/>
      <c r="M173" s="94"/>
      <c r="N173" s="154"/>
      <c r="O173" s="154"/>
      <c r="P173" s="154"/>
      <c r="Q173" s="150"/>
      <c r="R173" s="150"/>
    </row>
    <row r="174" spans="1:18" s="95" customFormat="1" ht="9.9499999999999993" customHeight="1">
      <c r="A174" s="61"/>
      <c r="B174" s="131"/>
      <c r="C174" s="132"/>
      <c r="D174" s="133"/>
      <c r="E174" s="132"/>
      <c r="F174" s="134"/>
      <c r="G174" s="136"/>
      <c r="H174" s="138"/>
      <c r="I174" s="136"/>
      <c r="J174" s="137"/>
      <c r="K174" s="57"/>
      <c r="L174" s="187"/>
      <c r="M174" s="94"/>
      <c r="N174" s="154"/>
      <c r="O174" s="154"/>
      <c r="P174" s="154"/>
      <c r="Q174" s="150"/>
      <c r="R174" s="150"/>
    </row>
    <row r="175" spans="1:18" s="95" customFormat="1">
      <c r="A175" s="61"/>
      <c r="B175" s="58" t="s">
        <v>89</v>
      </c>
      <c r="C175" s="45"/>
      <c r="D175" s="59" t="s">
        <v>97</v>
      </c>
      <c r="E175" s="46"/>
      <c r="F175" s="47"/>
      <c r="G175" s="48"/>
      <c r="H175" s="49"/>
      <c r="I175" s="51"/>
      <c r="J175" s="27"/>
      <c r="K175" s="191"/>
      <c r="L175" s="187"/>
      <c r="M175" s="94"/>
      <c r="N175" s="154"/>
      <c r="O175" s="154"/>
      <c r="P175" s="154"/>
      <c r="Q175" s="150"/>
      <c r="R175" s="150"/>
    </row>
    <row r="176" spans="1:18" s="95" customFormat="1">
      <c r="A176" s="61"/>
      <c r="B176" s="13" t="s">
        <v>125</v>
      </c>
      <c r="C176" s="14" t="s">
        <v>717</v>
      </c>
      <c r="D176" s="15" t="s">
        <v>718</v>
      </c>
      <c r="E176" s="16" t="s">
        <v>297</v>
      </c>
      <c r="F176" s="17">
        <v>2</v>
      </c>
      <c r="G176" s="17">
        <v>884.93</v>
      </c>
      <c r="H176" s="17">
        <f t="shared" ref="H176:H221" si="114">ROUND(G176*(IF(K176="O",(1+$F$10),(1+$F$19))),2)</f>
        <v>1089.79</v>
      </c>
      <c r="I176" s="17">
        <f t="shared" ref="I176:I221" si="115">ROUND((F176*H176),2)</f>
        <v>2179.58</v>
      </c>
      <c r="J176" s="101">
        <f t="shared" ref="J176:J222" si="116">I176/$I$284</f>
        <v>3.4117840056051697E-3</v>
      </c>
      <c r="K176" s="188" t="s">
        <v>192</v>
      </c>
      <c r="L176" s="187" t="s">
        <v>62</v>
      </c>
      <c r="M176" s="150">
        <v>86570</v>
      </c>
      <c r="N176" s="154"/>
      <c r="O176" s="154"/>
      <c r="P176" s="154"/>
      <c r="Q176" s="150">
        <v>1</v>
      </c>
      <c r="R176" s="150"/>
    </row>
    <row r="177" spans="1:18" s="95" customFormat="1" ht="63">
      <c r="A177" s="61"/>
      <c r="B177" s="13" t="s">
        <v>126</v>
      </c>
      <c r="C177" s="14" t="str">
        <f t="shared" ref="C177:C221" si="117">L177</f>
        <v>94648</v>
      </c>
      <c r="D177" s="15" t="s">
        <v>582</v>
      </c>
      <c r="E177" s="16" t="s">
        <v>298</v>
      </c>
      <c r="F177" s="17">
        <v>30.76</v>
      </c>
      <c r="G177" s="17">
        <f t="shared" ref="G177:G221" si="118">ROUND(M177*(1-$M$10),2)</f>
        <v>6.76</v>
      </c>
      <c r="H177" s="17">
        <f t="shared" si="114"/>
        <v>8.32</v>
      </c>
      <c r="I177" s="17">
        <f t="shared" si="115"/>
        <v>255.92</v>
      </c>
      <c r="J177" s="101">
        <f t="shared" si="116"/>
        <v>4.0060184196701889E-4</v>
      </c>
      <c r="K177" s="188" t="s">
        <v>192</v>
      </c>
      <c r="L177" s="187" t="s">
        <v>623</v>
      </c>
      <c r="M177" s="150">
        <v>7.12</v>
      </c>
      <c r="N177" s="154"/>
      <c r="O177" s="154"/>
      <c r="P177" s="154"/>
      <c r="Q177" s="150">
        <v>70</v>
      </c>
      <c r="R177" s="150"/>
    </row>
    <row r="178" spans="1:18" s="95" customFormat="1" ht="63">
      <c r="A178" s="61"/>
      <c r="B178" s="13" t="s">
        <v>538</v>
      </c>
      <c r="C178" s="14" t="str">
        <f t="shared" si="117"/>
        <v>94652</v>
      </c>
      <c r="D178" s="15" t="s">
        <v>583</v>
      </c>
      <c r="E178" s="16" t="s">
        <v>298</v>
      </c>
      <c r="F178" s="17">
        <v>0.62</v>
      </c>
      <c r="G178" s="17">
        <f t="shared" si="118"/>
        <v>25.92</v>
      </c>
      <c r="H178" s="17">
        <f t="shared" si="114"/>
        <v>31.92</v>
      </c>
      <c r="I178" s="17">
        <f t="shared" si="115"/>
        <v>19.79</v>
      </c>
      <c r="J178" s="101">
        <f t="shared" si="116"/>
        <v>3.0978080855452109E-5</v>
      </c>
      <c r="K178" s="188" t="s">
        <v>192</v>
      </c>
      <c r="L178" s="187" t="s">
        <v>624</v>
      </c>
      <c r="M178" s="150">
        <v>27.28</v>
      </c>
      <c r="N178" s="154"/>
      <c r="O178" s="154"/>
      <c r="P178" s="154"/>
      <c r="Q178" s="150">
        <v>2</v>
      </c>
      <c r="R178" s="150"/>
    </row>
    <row r="179" spans="1:18" s="95" customFormat="1" ht="47.25">
      <c r="A179" s="61"/>
      <c r="B179" s="13" t="s">
        <v>539</v>
      </c>
      <c r="C179" s="14" t="str">
        <f t="shared" si="117"/>
        <v>95635</v>
      </c>
      <c r="D179" s="15" t="s">
        <v>584</v>
      </c>
      <c r="E179" s="16" t="s">
        <v>297</v>
      </c>
      <c r="F179" s="17">
        <f t="shared" ref="F179:F221" si="119">ROUND(Q179*$Q$10+R179*$R$10,2)</f>
        <v>1</v>
      </c>
      <c r="G179" s="17">
        <f t="shared" si="118"/>
        <v>113.95</v>
      </c>
      <c r="H179" s="17">
        <f t="shared" si="114"/>
        <v>140.33000000000001</v>
      </c>
      <c r="I179" s="17">
        <f t="shared" si="115"/>
        <v>140.33000000000001</v>
      </c>
      <c r="J179" s="101">
        <f t="shared" si="116"/>
        <v>2.1966417819330948E-4</v>
      </c>
      <c r="K179" s="188" t="s">
        <v>192</v>
      </c>
      <c r="L179" s="187" t="s">
        <v>625</v>
      </c>
      <c r="M179" s="150">
        <v>119.95</v>
      </c>
      <c r="N179" s="154"/>
      <c r="O179" s="154"/>
      <c r="P179" s="154"/>
      <c r="Q179" s="150">
        <v>1</v>
      </c>
      <c r="R179" s="150"/>
    </row>
    <row r="180" spans="1:18" s="95" customFormat="1" ht="31.5">
      <c r="A180" s="61"/>
      <c r="B180" s="13" t="s">
        <v>540</v>
      </c>
      <c r="C180" s="14" t="str">
        <f t="shared" si="117"/>
        <v>95675</v>
      </c>
      <c r="D180" s="15" t="s">
        <v>585</v>
      </c>
      <c r="E180" s="16" t="s">
        <v>297</v>
      </c>
      <c r="F180" s="17">
        <f t="shared" si="119"/>
        <v>1</v>
      </c>
      <c r="G180" s="17">
        <f t="shared" si="118"/>
        <v>193.91</v>
      </c>
      <c r="H180" s="17">
        <f t="shared" si="114"/>
        <v>238.8</v>
      </c>
      <c r="I180" s="17">
        <f t="shared" si="115"/>
        <v>238.8</v>
      </c>
      <c r="J180" s="101">
        <f t="shared" si="116"/>
        <v>3.7380321921586478E-4</v>
      </c>
      <c r="K180" s="188" t="s">
        <v>192</v>
      </c>
      <c r="L180" s="187" t="s">
        <v>626</v>
      </c>
      <c r="M180" s="150">
        <v>204.12</v>
      </c>
      <c r="N180" s="154"/>
      <c r="O180" s="154"/>
      <c r="P180" s="154"/>
      <c r="Q180" s="150">
        <v>1</v>
      </c>
      <c r="R180" s="150"/>
    </row>
    <row r="181" spans="1:18" s="95" customFormat="1" ht="31.5">
      <c r="A181" s="61"/>
      <c r="B181" s="13" t="s">
        <v>541</v>
      </c>
      <c r="C181" s="14" t="str">
        <f t="shared" si="117"/>
        <v>94796</v>
      </c>
      <c r="D181" s="15" t="s">
        <v>586</v>
      </c>
      <c r="E181" s="16" t="s">
        <v>297</v>
      </c>
      <c r="F181" s="17">
        <f t="shared" si="119"/>
        <v>1</v>
      </c>
      <c r="G181" s="17">
        <f t="shared" si="118"/>
        <v>19.97</v>
      </c>
      <c r="H181" s="17">
        <f t="shared" si="114"/>
        <v>24.59</v>
      </c>
      <c r="I181" s="17">
        <f t="shared" si="115"/>
        <v>24.59</v>
      </c>
      <c r="J181" s="101">
        <f t="shared" si="116"/>
        <v>3.8491713402504668E-5</v>
      </c>
      <c r="K181" s="188" t="s">
        <v>192</v>
      </c>
      <c r="L181" s="187" t="s">
        <v>627</v>
      </c>
      <c r="M181" s="150">
        <v>21.02</v>
      </c>
      <c r="N181" s="193"/>
      <c r="O181" s="193"/>
      <c r="P181" s="193"/>
      <c r="Q181" s="150">
        <v>1</v>
      </c>
      <c r="R181" s="150"/>
    </row>
    <row r="182" spans="1:18" s="95" customFormat="1" ht="78.75">
      <c r="A182" s="61"/>
      <c r="B182" s="13" t="s">
        <v>542</v>
      </c>
      <c r="C182" s="14" t="str">
        <f t="shared" si="117"/>
        <v>94703</v>
      </c>
      <c r="D182" s="15" t="s">
        <v>587</v>
      </c>
      <c r="E182" s="16" t="s">
        <v>297</v>
      </c>
      <c r="F182" s="17">
        <f t="shared" si="119"/>
        <v>1</v>
      </c>
      <c r="G182" s="17">
        <f t="shared" si="118"/>
        <v>13.05</v>
      </c>
      <c r="H182" s="17">
        <f t="shared" si="114"/>
        <v>16.07</v>
      </c>
      <c r="I182" s="17">
        <f t="shared" si="115"/>
        <v>16.07</v>
      </c>
      <c r="J182" s="101">
        <f t="shared" si="116"/>
        <v>2.5155015631486376E-5</v>
      </c>
      <c r="K182" s="188" t="s">
        <v>192</v>
      </c>
      <c r="L182" s="187" t="s">
        <v>628</v>
      </c>
      <c r="M182" s="150">
        <v>13.74</v>
      </c>
      <c r="N182" s="193"/>
      <c r="O182" s="193"/>
      <c r="P182" s="193"/>
      <c r="Q182" s="150">
        <v>1</v>
      </c>
      <c r="R182" s="150"/>
    </row>
    <row r="183" spans="1:18" s="95" customFormat="1" ht="63">
      <c r="A183" s="61"/>
      <c r="B183" s="13" t="s">
        <v>543</v>
      </c>
      <c r="C183" s="14" t="str">
        <f t="shared" si="117"/>
        <v>94499</v>
      </c>
      <c r="D183" s="15" t="s">
        <v>489</v>
      </c>
      <c r="E183" s="16" t="s">
        <v>297</v>
      </c>
      <c r="F183" s="17">
        <f t="shared" si="119"/>
        <v>1</v>
      </c>
      <c r="G183" s="17">
        <f t="shared" si="118"/>
        <v>221.13</v>
      </c>
      <c r="H183" s="17">
        <f t="shared" si="114"/>
        <v>272.32</v>
      </c>
      <c r="I183" s="17">
        <f t="shared" si="115"/>
        <v>272.32</v>
      </c>
      <c r="J183" s="101">
        <f t="shared" si="116"/>
        <v>4.2627341983611511E-4</v>
      </c>
      <c r="K183" s="188" t="s">
        <v>192</v>
      </c>
      <c r="L183" s="187" t="s">
        <v>629</v>
      </c>
      <c r="M183" s="150">
        <v>232.77</v>
      </c>
      <c r="N183" s="193"/>
      <c r="O183" s="193"/>
      <c r="P183" s="193"/>
      <c r="Q183" s="150">
        <v>1</v>
      </c>
      <c r="R183" s="150"/>
    </row>
    <row r="184" spans="1:18" s="95" customFormat="1" ht="47.25">
      <c r="A184" s="61"/>
      <c r="B184" s="13" t="s">
        <v>544</v>
      </c>
      <c r="C184" s="14" t="str">
        <f t="shared" si="117"/>
        <v>89408</v>
      </c>
      <c r="D184" s="15" t="s">
        <v>588</v>
      </c>
      <c r="E184" s="16" t="s">
        <v>297</v>
      </c>
      <c r="F184" s="17">
        <v>16</v>
      </c>
      <c r="G184" s="17">
        <f t="shared" si="118"/>
        <v>3.83</v>
      </c>
      <c r="H184" s="17">
        <f t="shared" si="114"/>
        <v>4.72</v>
      </c>
      <c r="I184" s="17">
        <f t="shared" si="115"/>
        <v>75.52</v>
      </c>
      <c r="J184" s="101">
        <f t="shared" si="116"/>
        <v>1.1821448540696024E-4</v>
      </c>
      <c r="K184" s="188" t="s">
        <v>192</v>
      </c>
      <c r="L184" s="187" t="s">
        <v>630</v>
      </c>
      <c r="M184" s="150">
        <v>4.03</v>
      </c>
      <c r="N184" s="193"/>
      <c r="O184" s="193"/>
      <c r="P184" s="193"/>
      <c r="Q184" s="150">
        <v>5</v>
      </c>
      <c r="R184" s="150"/>
    </row>
    <row r="185" spans="1:18" s="95" customFormat="1" ht="47.25">
      <c r="A185" s="61"/>
      <c r="B185" s="13" t="s">
        <v>545</v>
      </c>
      <c r="C185" s="14" t="str">
        <f t="shared" si="117"/>
        <v>89413</v>
      </c>
      <c r="D185" s="15" t="s">
        <v>589</v>
      </c>
      <c r="E185" s="16" t="s">
        <v>297</v>
      </c>
      <c r="F185" s="17">
        <v>9</v>
      </c>
      <c r="G185" s="17">
        <f t="shared" si="118"/>
        <v>5.59</v>
      </c>
      <c r="H185" s="17">
        <f t="shared" si="114"/>
        <v>6.88</v>
      </c>
      <c r="I185" s="17">
        <f t="shared" si="115"/>
        <v>61.92</v>
      </c>
      <c r="J185" s="101">
        <f t="shared" si="116"/>
        <v>9.6925859856978003E-5</v>
      </c>
      <c r="K185" s="188" t="s">
        <v>192</v>
      </c>
      <c r="L185" s="187" t="s">
        <v>631</v>
      </c>
      <c r="M185" s="150">
        <v>5.88</v>
      </c>
      <c r="N185" s="193"/>
      <c r="O185" s="193"/>
      <c r="P185" s="193"/>
      <c r="Q185" s="150">
        <v>3</v>
      </c>
      <c r="R185" s="150"/>
    </row>
    <row r="186" spans="1:18" s="95" customFormat="1" ht="78.75">
      <c r="A186" s="61"/>
      <c r="B186" s="13" t="s">
        <v>546</v>
      </c>
      <c r="C186" s="14" t="str">
        <f t="shared" si="117"/>
        <v>94666</v>
      </c>
      <c r="D186" s="15" t="s">
        <v>590</v>
      </c>
      <c r="E186" s="16" t="s">
        <v>297</v>
      </c>
      <c r="F186" s="17">
        <f t="shared" si="119"/>
        <v>2</v>
      </c>
      <c r="G186" s="17">
        <f t="shared" si="118"/>
        <v>21.47</v>
      </c>
      <c r="H186" s="17">
        <f t="shared" si="114"/>
        <v>26.44</v>
      </c>
      <c r="I186" s="17">
        <f t="shared" si="115"/>
        <v>52.88</v>
      </c>
      <c r="J186" s="101">
        <f t="shared" si="116"/>
        <v>8.2775185226695682E-5</v>
      </c>
      <c r="K186" s="188" t="s">
        <v>192</v>
      </c>
      <c r="L186" s="187" t="s">
        <v>632</v>
      </c>
      <c r="M186" s="150">
        <v>22.6</v>
      </c>
      <c r="N186" s="193"/>
      <c r="O186" s="193"/>
      <c r="P186" s="193"/>
      <c r="Q186" s="150">
        <v>2</v>
      </c>
      <c r="R186" s="150"/>
    </row>
    <row r="187" spans="1:18" s="95" customFormat="1" ht="47.25">
      <c r="A187" s="61"/>
      <c r="B187" s="13" t="s">
        <v>547</v>
      </c>
      <c r="C187" s="14" t="str">
        <f t="shared" si="117"/>
        <v>89427</v>
      </c>
      <c r="D187" s="15" t="s">
        <v>591</v>
      </c>
      <c r="E187" s="16" t="s">
        <v>297</v>
      </c>
      <c r="F187" s="17">
        <f t="shared" si="119"/>
        <v>6</v>
      </c>
      <c r="G187" s="17">
        <f t="shared" si="118"/>
        <v>7.24</v>
      </c>
      <c r="H187" s="17">
        <f t="shared" si="114"/>
        <v>8.92</v>
      </c>
      <c r="I187" s="17">
        <f t="shared" si="115"/>
        <v>53.52</v>
      </c>
      <c r="J187" s="101">
        <f t="shared" si="116"/>
        <v>8.3777002899636024E-5</v>
      </c>
      <c r="K187" s="188" t="s">
        <v>192</v>
      </c>
      <c r="L187" s="187" t="s">
        <v>633</v>
      </c>
      <c r="M187" s="150">
        <v>7.62</v>
      </c>
      <c r="N187" s="193"/>
      <c r="O187" s="193"/>
      <c r="P187" s="193"/>
      <c r="Q187" s="150">
        <v>6</v>
      </c>
      <c r="R187" s="150"/>
    </row>
    <row r="188" spans="1:18" s="95" customFormat="1" ht="47.25">
      <c r="A188" s="61"/>
      <c r="B188" s="13" t="s">
        <v>548</v>
      </c>
      <c r="C188" s="14" t="str">
        <f t="shared" si="117"/>
        <v>89513</v>
      </c>
      <c r="D188" s="15" t="s">
        <v>592</v>
      </c>
      <c r="E188" s="16" t="s">
        <v>297</v>
      </c>
      <c r="F188" s="17">
        <f t="shared" si="119"/>
        <v>1</v>
      </c>
      <c r="G188" s="17">
        <f t="shared" si="118"/>
        <v>73.709999999999994</v>
      </c>
      <c r="H188" s="17">
        <f t="shared" si="114"/>
        <v>90.77</v>
      </c>
      <c r="I188" s="17">
        <f t="shared" si="115"/>
        <v>90.77</v>
      </c>
      <c r="J188" s="101">
        <f t="shared" si="116"/>
        <v>1.4208592214499181E-4</v>
      </c>
      <c r="K188" s="188" t="s">
        <v>192</v>
      </c>
      <c r="L188" s="187" t="s">
        <v>634</v>
      </c>
      <c r="M188" s="150">
        <v>77.59</v>
      </c>
      <c r="N188" s="193"/>
      <c r="O188" s="193"/>
      <c r="P188" s="193"/>
      <c r="Q188" s="150">
        <v>1</v>
      </c>
      <c r="R188" s="150"/>
    </row>
    <row r="189" spans="1:18" s="95" customFormat="1" ht="31.5">
      <c r="A189" s="61"/>
      <c r="B189" s="13" t="s">
        <v>549</v>
      </c>
      <c r="C189" s="14" t="str">
        <f t="shared" si="117"/>
        <v>89629</v>
      </c>
      <c r="D189" s="15" t="s">
        <v>593</v>
      </c>
      <c r="E189" s="16" t="s">
        <v>297</v>
      </c>
      <c r="F189" s="17">
        <f t="shared" si="119"/>
        <v>7</v>
      </c>
      <c r="G189" s="17">
        <f t="shared" si="118"/>
        <v>54.69</v>
      </c>
      <c r="H189" s="17">
        <f t="shared" si="114"/>
        <v>67.349999999999994</v>
      </c>
      <c r="I189" s="17">
        <f t="shared" si="115"/>
        <v>471.45</v>
      </c>
      <c r="J189" s="101">
        <f t="shared" si="116"/>
        <v>7.3797959673081845E-4</v>
      </c>
      <c r="K189" s="188" t="s">
        <v>192</v>
      </c>
      <c r="L189" s="187" t="s">
        <v>635</v>
      </c>
      <c r="M189" s="150">
        <v>57.57</v>
      </c>
      <c r="N189" s="193"/>
      <c r="O189" s="193"/>
      <c r="P189" s="193"/>
      <c r="Q189" s="150">
        <v>7</v>
      </c>
      <c r="R189" s="150"/>
    </row>
    <row r="190" spans="1:18" s="95" customFormat="1" ht="31.5">
      <c r="A190" s="61"/>
      <c r="B190" s="13" t="s">
        <v>550</v>
      </c>
      <c r="C190" s="14" t="str">
        <f t="shared" si="117"/>
        <v>89628</v>
      </c>
      <c r="D190" s="15" t="s">
        <v>594</v>
      </c>
      <c r="E190" s="16" t="s">
        <v>297</v>
      </c>
      <c r="F190" s="17">
        <f t="shared" si="119"/>
        <v>11</v>
      </c>
      <c r="G190" s="17">
        <f t="shared" si="118"/>
        <v>29.74</v>
      </c>
      <c r="H190" s="17">
        <f t="shared" si="114"/>
        <v>36.619999999999997</v>
      </c>
      <c r="I190" s="17">
        <f t="shared" si="115"/>
        <v>402.82</v>
      </c>
      <c r="J190" s="101">
        <f t="shared" si="116"/>
        <v>6.3055030470910648E-4</v>
      </c>
      <c r="K190" s="188" t="s">
        <v>192</v>
      </c>
      <c r="L190" s="187" t="s">
        <v>636</v>
      </c>
      <c r="M190" s="150">
        <v>31.3</v>
      </c>
      <c r="N190" s="193"/>
      <c r="O190" s="193"/>
      <c r="P190" s="193"/>
      <c r="Q190" s="150">
        <v>11</v>
      </c>
      <c r="R190" s="150"/>
    </row>
    <row r="191" spans="1:18" s="95" customFormat="1" ht="47.25">
      <c r="A191" s="61"/>
      <c r="B191" s="13" t="s">
        <v>551</v>
      </c>
      <c r="C191" s="14" t="str">
        <f t="shared" si="117"/>
        <v>89605</v>
      </c>
      <c r="D191" s="15" t="s">
        <v>595</v>
      </c>
      <c r="E191" s="16" t="s">
        <v>297</v>
      </c>
      <c r="F191" s="17">
        <f t="shared" si="119"/>
        <v>16</v>
      </c>
      <c r="G191" s="17">
        <f t="shared" si="118"/>
        <v>12.86</v>
      </c>
      <c r="H191" s="17">
        <f t="shared" si="114"/>
        <v>15.84</v>
      </c>
      <c r="I191" s="17">
        <f t="shared" si="115"/>
        <v>253.44</v>
      </c>
      <c r="J191" s="101">
        <f t="shared" si="116"/>
        <v>3.9671979848437505E-4</v>
      </c>
      <c r="K191" s="188" t="s">
        <v>192</v>
      </c>
      <c r="L191" s="187" t="s">
        <v>637</v>
      </c>
      <c r="M191" s="150">
        <v>13.54</v>
      </c>
      <c r="N191" s="154"/>
      <c r="O191" s="154"/>
      <c r="P191" s="154"/>
      <c r="Q191" s="150">
        <v>16</v>
      </c>
      <c r="R191" s="150"/>
    </row>
    <row r="192" spans="1:18" s="95" customFormat="1" ht="47.25">
      <c r="A192" s="61"/>
      <c r="B192" s="13" t="s">
        <v>552</v>
      </c>
      <c r="C192" s="14" t="str">
        <f t="shared" ref="C192:C201" si="120">L192</f>
        <v>89505</v>
      </c>
      <c r="D192" s="15" t="s">
        <v>596</v>
      </c>
      <c r="E192" s="16" t="s">
        <v>297</v>
      </c>
      <c r="F192" s="17">
        <f t="shared" ref="F192:F201" si="121">ROUND(Q192*$Q$10+R192*$R$10,2)</f>
        <v>8</v>
      </c>
      <c r="G192" s="17">
        <f t="shared" ref="G192:G201" si="122">ROUND(M192*(1-$M$10),2)</f>
        <v>23.34</v>
      </c>
      <c r="H192" s="17">
        <f t="shared" ref="H192:H201" si="123">ROUND(G192*(IF(K192="O",(1+$F$10),(1+$F$19))),2)</f>
        <v>28.74</v>
      </c>
      <c r="I192" s="17">
        <f t="shared" ref="I192:I201" si="124">ROUND((F192*H192),2)</f>
        <v>229.92</v>
      </c>
      <c r="J192" s="101">
        <f t="shared" si="116"/>
        <v>3.5990299900381749E-4</v>
      </c>
      <c r="K192" s="188" t="s">
        <v>192</v>
      </c>
      <c r="L192" s="187" t="s">
        <v>638</v>
      </c>
      <c r="M192" s="150">
        <v>24.57</v>
      </c>
      <c r="N192" s="193"/>
      <c r="O192" s="193"/>
      <c r="P192" s="193"/>
      <c r="Q192" s="150">
        <v>8</v>
      </c>
      <c r="R192" s="150"/>
    </row>
    <row r="193" spans="1:18" s="95" customFormat="1" ht="47.25">
      <c r="A193" s="61"/>
      <c r="B193" s="13" t="s">
        <v>553</v>
      </c>
      <c r="C193" s="14" t="str">
        <f t="shared" si="120"/>
        <v>89501</v>
      </c>
      <c r="D193" s="15" t="s">
        <v>597</v>
      </c>
      <c r="E193" s="16" t="s">
        <v>297</v>
      </c>
      <c r="F193" s="17">
        <f t="shared" si="121"/>
        <v>3</v>
      </c>
      <c r="G193" s="17">
        <f t="shared" si="122"/>
        <v>8.7899999999999991</v>
      </c>
      <c r="H193" s="17">
        <f t="shared" si="123"/>
        <v>10.82</v>
      </c>
      <c r="I193" s="17">
        <f t="shared" si="124"/>
        <v>32.46</v>
      </c>
      <c r="J193" s="101">
        <f t="shared" si="116"/>
        <v>5.0810940099442923E-5</v>
      </c>
      <c r="K193" s="188" t="s">
        <v>192</v>
      </c>
      <c r="L193" s="187" t="s">
        <v>639</v>
      </c>
      <c r="M193" s="150">
        <v>9.25</v>
      </c>
      <c r="N193" s="193"/>
      <c r="O193" s="193"/>
      <c r="P193" s="193"/>
      <c r="Q193" s="150">
        <v>3</v>
      </c>
      <c r="R193" s="150"/>
    </row>
    <row r="194" spans="1:18" s="95" customFormat="1" ht="47.25">
      <c r="A194" s="61"/>
      <c r="B194" s="13" t="s">
        <v>554</v>
      </c>
      <c r="C194" s="14" t="str">
        <f t="shared" si="120"/>
        <v>89579</v>
      </c>
      <c r="D194" s="15" t="s">
        <v>598</v>
      </c>
      <c r="E194" s="16" t="s">
        <v>297</v>
      </c>
      <c r="F194" s="17">
        <f t="shared" si="121"/>
        <v>9</v>
      </c>
      <c r="G194" s="17">
        <f t="shared" si="122"/>
        <v>7.16</v>
      </c>
      <c r="H194" s="17">
        <f t="shared" si="123"/>
        <v>8.82</v>
      </c>
      <c r="I194" s="17">
        <f t="shared" si="124"/>
        <v>79.38</v>
      </c>
      <c r="J194" s="101">
        <f t="shared" si="116"/>
        <v>1.2425669824688167E-4</v>
      </c>
      <c r="K194" s="188" t="s">
        <v>192</v>
      </c>
      <c r="L194" s="187" t="s">
        <v>640</v>
      </c>
      <c r="M194" s="150">
        <v>7.54</v>
      </c>
      <c r="N194" s="193"/>
      <c r="O194" s="193"/>
      <c r="P194" s="193"/>
      <c r="Q194" s="150">
        <v>9</v>
      </c>
      <c r="R194" s="150"/>
    </row>
    <row r="195" spans="1:18" s="95" customFormat="1" ht="47.25">
      <c r="A195" s="61"/>
      <c r="B195" s="13" t="s">
        <v>555</v>
      </c>
      <c r="C195" s="14" t="str">
        <f t="shared" si="120"/>
        <v>89627</v>
      </c>
      <c r="D195" s="15" t="s">
        <v>599</v>
      </c>
      <c r="E195" s="16" t="s">
        <v>297</v>
      </c>
      <c r="F195" s="17">
        <f t="shared" si="121"/>
        <v>0</v>
      </c>
      <c r="G195" s="17">
        <f t="shared" si="122"/>
        <v>13</v>
      </c>
      <c r="H195" s="17">
        <f t="shared" si="123"/>
        <v>16.010000000000002</v>
      </c>
      <c r="I195" s="17">
        <f t="shared" si="124"/>
        <v>0</v>
      </c>
      <c r="J195" s="101">
        <f t="shared" si="116"/>
        <v>0</v>
      </c>
      <c r="K195" s="188" t="s">
        <v>192</v>
      </c>
      <c r="L195" s="187" t="s">
        <v>641</v>
      </c>
      <c r="M195" s="150">
        <v>13.68</v>
      </c>
      <c r="N195" s="193"/>
      <c r="O195" s="193"/>
      <c r="P195" s="193"/>
      <c r="Q195" s="150">
        <v>0</v>
      </c>
      <c r="R195" s="150"/>
    </row>
    <row r="196" spans="1:18" s="95" customFormat="1" ht="47.25">
      <c r="A196" s="61"/>
      <c r="B196" s="13" t="s">
        <v>556</v>
      </c>
      <c r="C196" s="14" t="str">
        <f t="shared" si="120"/>
        <v>89630</v>
      </c>
      <c r="D196" s="15" t="s">
        <v>600</v>
      </c>
      <c r="E196" s="16" t="s">
        <v>297</v>
      </c>
      <c r="F196" s="17">
        <f t="shared" si="121"/>
        <v>0</v>
      </c>
      <c r="G196" s="17">
        <f t="shared" si="122"/>
        <v>43.31</v>
      </c>
      <c r="H196" s="17">
        <f t="shared" si="123"/>
        <v>53.34</v>
      </c>
      <c r="I196" s="17">
        <f t="shared" si="124"/>
        <v>0</v>
      </c>
      <c r="J196" s="101">
        <f t="shared" si="116"/>
        <v>0</v>
      </c>
      <c r="K196" s="188" t="s">
        <v>192</v>
      </c>
      <c r="L196" s="187" t="s">
        <v>642</v>
      </c>
      <c r="M196" s="150">
        <v>45.59</v>
      </c>
      <c r="N196" s="193"/>
      <c r="O196" s="193"/>
      <c r="P196" s="193"/>
      <c r="Q196" s="150">
        <v>0</v>
      </c>
      <c r="R196" s="150"/>
    </row>
    <row r="197" spans="1:18" s="95" customFormat="1" ht="47.25">
      <c r="A197" s="61"/>
      <c r="B197" s="13" t="s">
        <v>557</v>
      </c>
      <c r="C197" s="14" t="str">
        <f t="shared" si="120"/>
        <v>89362</v>
      </c>
      <c r="D197" s="15" t="s">
        <v>601</v>
      </c>
      <c r="E197" s="16" t="s">
        <v>297</v>
      </c>
      <c r="F197" s="17">
        <f t="shared" si="121"/>
        <v>15</v>
      </c>
      <c r="G197" s="17">
        <f t="shared" si="122"/>
        <v>5.66</v>
      </c>
      <c r="H197" s="17">
        <f t="shared" si="123"/>
        <v>6.97</v>
      </c>
      <c r="I197" s="17">
        <f t="shared" si="124"/>
        <v>104.55</v>
      </c>
      <c r="J197" s="101">
        <f t="shared" si="116"/>
        <v>1.6365630891548852E-4</v>
      </c>
      <c r="K197" s="188" t="s">
        <v>192</v>
      </c>
      <c r="L197" s="187" t="s">
        <v>643</v>
      </c>
      <c r="M197" s="150">
        <v>5.96</v>
      </c>
      <c r="N197" s="193"/>
      <c r="O197" s="193"/>
      <c r="P197" s="193"/>
      <c r="Q197" s="150">
        <v>15</v>
      </c>
      <c r="R197" s="150"/>
    </row>
    <row r="198" spans="1:18" s="95" customFormat="1" ht="47.25">
      <c r="A198" s="61"/>
      <c r="B198" s="13" t="s">
        <v>558</v>
      </c>
      <c r="C198" s="14" t="str">
        <f t="shared" si="120"/>
        <v>89367</v>
      </c>
      <c r="D198" s="15" t="s">
        <v>602</v>
      </c>
      <c r="E198" s="16" t="s">
        <v>297</v>
      </c>
      <c r="F198" s="17">
        <f t="shared" si="121"/>
        <v>3</v>
      </c>
      <c r="G198" s="17">
        <f t="shared" si="122"/>
        <v>7.78</v>
      </c>
      <c r="H198" s="17">
        <f t="shared" si="123"/>
        <v>9.58</v>
      </c>
      <c r="I198" s="17">
        <f t="shared" si="124"/>
        <v>28.74</v>
      </c>
      <c r="J198" s="101">
        <f t="shared" si="116"/>
        <v>4.4987874875477187E-5</v>
      </c>
      <c r="K198" s="188" t="s">
        <v>192</v>
      </c>
      <c r="L198" s="187" t="s">
        <v>644</v>
      </c>
      <c r="M198" s="150">
        <v>8.19</v>
      </c>
      <c r="N198" s="193"/>
      <c r="O198" s="193"/>
      <c r="P198" s="193"/>
      <c r="Q198" s="150">
        <v>3</v>
      </c>
      <c r="R198" s="150"/>
    </row>
    <row r="199" spans="1:18" s="95" customFormat="1" ht="47.25">
      <c r="A199" s="61"/>
      <c r="B199" s="13" t="s">
        <v>559</v>
      </c>
      <c r="C199" s="14" t="str">
        <f t="shared" si="120"/>
        <v>89363</v>
      </c>
      <c r="D199" s="15" t="s">
        <v>603</v>
      </c>
      <c r="E199" s="16" t="s">
        <v>297</v>
      </c>
      <c r="F199" s="17">
        <f t="shared" si="121"/>
        <v>0</v>
      </c>
      <c r="G199" s="17">
        <f t="shared" si="122"/>
        <v>6.21</v>
      </c>
      <c r="H199" s="17">
        <f t="shared" si="123"/>
        <v>7.65</v>
      </c>
      <c r="I199" s="17">
        <f t="shared" si="124"/>
        <v>0</v>
      </c>
      <c r="J199" s="101">
        <f t="shared" si="116"/>
        <v>0</v>
      </c>
      <c r="K199" s="188" t="s">
        <v>192</v>
      </c>
      <c r="L199" s="187" t="s">
        <v>645</v>
      </c>
      <c r="M199" s="150">
        <v>6.54</v>
      </c>
      <c r="N199" s="193"/>
      <c r="O199" s="193"/>
      <c r="P199" s="193"/>
      <c r="Q199" s="150">
        <v>0</v>
      </c>
      <c r="R199" s="150"/>
    </row>
    <row r="200" spans="1:18" s="95" customFormat="1" ht="47.25">
      <c r="A200" s="61"/>
      <c r="B200" s="13" t="s">
        <v>560</v>
      </c>
      <c r="C200" s="14" t="str">
        <f t="shared" si="120"/>
        <v>90373</v>
      </c>
      <c r="D200" s="15" t="s">
        <v>604</v>
      </c>
      <c r="E200" s="16" t="s">
        <v>297</v>
      </c>
      <c r="F200" s="17">
        <f t="shared" si="121"/>
        <v>19</v>
      </c>
      <c r="G200" s="17">
        <f t="shared" si="122"/>
        <v>9.52</v>
      </c>
      <c r="H200" s="17">
        <f t="shared" si="123"/>
        <v>11.72</v>
      </c>
      <c r="I200" s="17">
        <f t="shared" si="124"/>
        <v>222.68</v>
      </c>
      <c r="J200" s="101">
        <f t="shared" si="116"/>
        <v>3.4856993657867992E-4</v>
      </c>
      <c r="K200" s="188" t="s">
        <v>192</v>
      </c>
      <c r="L200" s="187" t="s">
        <v>646</v>
      </c>
      <c r="M200" s="150">
        <v>10.02</v>
      </c>
      <c r="N200" s="193"/>
      <c r="O200" s="193"/>
      <c r="P200" s="193"/>
      <c r="Q200" s="150">
        <v>19</v>
      </c>
      <c r="R200" s="150"/>
    </row>
    <row r="201" spans="1:18" s="95" customFormat="1" ht="47.25">
      <c r="A201" s="61"/>
      <c r="B201" s="13" t="s">
        <v>561</v>
      </c>
      <c r="C201" s="14" t="str">
        <f t="shared" si="120"/>
        <v>89395</v>
      </c>
      <c r="D201" s="15" t="s">
        <v>605</v>
      </c>
      <c r="E201" s="16" t="s">
        <v>297</v>
      </c>
      <c r="F201" s="17">
        <f t="shared" si="121"/>
        <v>9</v>
      </c>
      <c r="G201" s="17">
        <f t="shared" si="122"/>
        <v>7.88</v>
      </c>
      <c r="H201" s="17">
        <f t="shared" si="123"/>
        <v>9.6999999999999993</v>
      </c>
      <c r="I201" s="17">
        <f t="shared" si="124"/>
        <v>87.3</v>
      </c>
      <c r="J201" s="101">
        <f t="shared" si="116"/>
        <v>1.366541919495184E-4</v>
      </c>
      <c r="K201" s="188" t="s">
        <v>192</v>
      </c>
      <c r="L201" s="187" t="s">
        <v>647</v>
      </c>
      <c r="M201" s="150">
        <v>8.2899999999999991</v>
      </c>
      <c r="N201" s="193"/>
      <c r="O201" s="193"/>
      <c r="P201" s="193"/>
      <c r="Q201" s="150">
        <v>9</v>
      </c>
      <c r="R201" s="150"/>
    </row>
    <row r="202" spans="1:18" s="95" customFormat="1" ht="63">
      <c r="A202" s="61"/>
      <c r="B202" s="13" t="s">
        <v>562</v>
      </c>
      <c r="C202" s="14" t="str">
        <f t="shared" si="117"/>
        <v>89383</v>
      </c>
      <c r="D202" s="15" t="s">
        <v>606</v>
      </c>
      <c r="E202" s="16" t="s">
        <v>297</v>
      </c>
      <c r="F202" s="17">
        <f t="shared" si="119"/>
        <v>6</v>
      </c>
      <c r="G202" s="17">
        <f t="shared" si="118"/>
        <v>4.26</v>
      </c>
      <c r="H202" s="17">
        <f t="shared" si="114"/>
        <v>5.25</v>
      </c>
      <c r="I202" s="17">
        <f t="shared" si="115"/>
        <v>31.5</v>
      </c>
      <c r="J202" s="101">
        <f t="shared" si="116"/>
        <v>4.930821359003241E-5</v>
      </c>
      <c r="K202" s="188" t="s">
        <v>192</v>
      </c>
      <c r="L202" s="187" t="s">
        <v>648</v>
      </c>
      <c r="M202" s="150">
        <v>4.4800000000000004</v>
      </c>
      <c r="N202" s="193"/>
      <c r="O202" s="193"/>
      <c r="P202" s="193"/>
      <c r="Q202" s="150">
        <v>6</v>
      </c>
      <c r="R202" s="150"/>
    </row>
    <row r="203" spans="1:18" s="95" customFormat="1" ht="63">
      <c r="A203" s="61"/>
      <c r="B203" s="13" t="s">
        <v>563</v>
      </c>
      <c r="C203" s="14" t="str">
        <f t="shared" si="117"/>
        <v>89391</v>
      </c>
      <c r="D203" s="15" t="s">
        <v>607</v>
      </c>
      <c r="E203" s="16" t="s">
        <v>297</v>
      </c>
      <c r="F203" s="17">
        <f t="shared" si="119"/>
        <v>10</v>
      </c>
      <c r="G203" s="17">
        <f t="shared" si="118"/>
        <v>5.71</v>
      </c>
      <c r="H203" s="17">
        <f t="shared" si="114"/>
        <v>7.03</v>
      </c>
      <c r="I203" s="17">
        <f t="shared" si="115"/>
        <v>70.3</v>
      </c>
      <c r="J203" s="101">
        <f t="shared" si="116"/>
        <v>1.1004341001204059E-4</v>
      </c>
      <c r="K203" s="188" t="s">
        <v>192</v>
      </c>
      <c r="L203" s="187" t="s">
        <v>649</v>
      </c>
      <c r="M203" s="150">
        <v>6.01</v>
      </c>
      <c r="N203" s="193"/>
      <c r="O203" s="193"/>
      <c r="P203" s="193"/>
      <c r="Q203" s="150">
        <v>10</v>
      </c>
      <c r="R203" s="150"/>
    </row>
    <row r="204" spans="1:18" s="95" customFormat="1" ht="47.25">
      <c r="A204" s="61"/>
      <c r="B204" s="13" t="s">
        <v>564</v>
      </c>
      <c r="C204" s="14" t="str">
        <f t="shared" si="117"/>
        <v>89610</v>
      </c>
      <c r="D204" s="15" t="s">
        <v>608</v>
      </c>
      <c r="E204" s="16" t="s">
        <v>297</v>
      </c>
      <c r="F204" s="17">
        <f t="shared" si="119"/>
        <v>8</v>
      </c>
      <c r="G204" s="17">
        <f t="shared" si="118"/>
        <v>13.21</v>
      </c>
      <c r="H204" s="17">
        <f t="shared" si="114"/>
        <v>16.27</v>
      </c>
      <c r="I204" s="17">
        <f t="shared" si="115"/>
        <v>130.16</v>
      </c>
      <c r="J204" s="101">
        <f t="shared" si="116"/>
        <v>2.0374466923424187E-4</v>
      </c>
      <c r="K204" s="188" t="s">
        <v>192</v>
      </c>
      <c r="L204" s="187" t="s">
        <v>650</v>
      </c>
      <c r="M204" s="150">
        <v>13.9</v>
      </c>
      <c r="N204" s="193"/>
      <c r="O204" s="193"/>
      <c r="P204" s="193"/>
      <c r="Q204" s="150">
        <v>8</v>
      </c>
      <c r="R204" s="150"/>
    </row>
    <row r="205" spans="1:18" s="95" customFormat="1" ht="47.25">
      <c r="A205" s="61"/>
      <c r="B205" s="13" t="s">
        <v>565</v>
      </c>
      <c r="C205" s="14" t="str">
        <f t="shared" si="117"/>
        <v>89613</v>
      </c>
      <c r="D205" s="15" t="s">
        <v>609</v>
      </c>
      <c r="E205" s="16" t="s">
        <v>297</v>
      </c>
      <c r="F205" s="17">
        <f t="shared" si="119"/>
        <v>2</v>
      </c>
      <c r="G205" s="17">
        <f t="shared" si="118"/>
        <v>19.11</v>
      </c>
      <c r="H205" s="17">
        <f t="shared" si="114"/>
        <v>23.53</v>
      </c>
      <c r="I205" s="17">
        <f t="shared" si="115"/>
        <v>47.06</v>
      </c>
      <c r="J205" s="101">
        <f t="shared" si="116"/>
        <v>7.3664905763394455E-5</v>
      </c>
      <c r="K205" s="188" t="s">
        <v>192</v>
      </c>
      <c r="L205" s="187" t="s">
        <v>651</v>
      </c>
      <c r="M205" s="150">
        <v>20.12</v>
      </c>
      <c r="N205" s="193"/>
      <c r="O205" s="193"/>
      <c r="P205" s="193"/>
      <c r="Q205" s="150">
        <v>2</v>
      </c>
      <c r="R205" s="150"/>
    </row>
    <row r="206" spans="1:18" s="95" customFormat="1" ht="47.25">
      <c r="A206" s="61"/>
      <c r="B206" s="13" t="s">
        <v>566</v>
      </c>
      <c r="C206" s="14" t="str">
        <f t="shared" si="117"/>
        <v>89596</v>
      </c>
      <c r="D206" s="15" t="s">
        <v>610</v>
      </c>
      <c r="E206" s="16" t="s">
        <v>297</v>
      </c>
      <c r="F206" s="17">
        <f t="shared" si="119"/>
        <v>26</v>
      </c>
      <c r="G206" s="17">
        <f t="shared" si="118"/>
        <v>6.85</v>
      </c>
      <c r="H206" s="17">
        <f t="shared" si="114"/>
        <v>8.44</v>
      </c>
      <c r="I206" s="17">
        <f t="shared" si="115"/>
        <v>219.44</v>
      </c>
      <c r="J206" s="101">
        <f t="shared" si="116"/>
        <v>3.4349823460941943E-4</v>
      </c>
      <c r="K206" s="188" t="s">
        <v>192</v>
      </c>
      <c r="L206" s="187" t="s">
        <v>652</v>
      </c>
      <c r="M206" s="150">
        <v>7.21</v>
      </c>
      <c r="N206" s="193"/>
      <c r="O206" s="193"/>
      <c r="P206" s="193"/>
      <c r="Q206" s="150">
        <v>26</v>
      </c>
      <c r="R206" s="150"/>
    </row>
    <row r="207" spans="1:18" s="95" customFormat="1" ht="63">
      <c r="A207" s="61"/>
      <c r="B207" s="13" t="s">
        <v>567</v>
      </c>
      <c r="C207" s="14" t="str">
        <f t="shared" si="117"/>
        <v>89396</v>
      </c>
      <c r="D207" s="15" t="s">
        <v>611</v>
      </c>
      <c r="E207" s="16" t="s">
        <v>297</v>
      </c>
      <c r="F207" s="17">
        <f t="shared" si="119"/>
        <v>13</v>
      </c>
      <c r="G207" s="17">
        <f t="shared" si="118"/>
        <v>13.29</v>
      </c>
      <c r="H207" s="17">
        <f t="shared" si="114"/>
        <v>16.37</v>
      </c>
      <c r="I207" s="17">
        <f t="shared" si="115"/>
        <v>212.81</v>
      </c>
      <c r="J207" s="101">
        <f t="shared" si="116"/>
        <v>3.3312002965380308E-4</v>
      </c>
      <c r="K207" s="188" t="s">
        <v>192</v>
      </c>
      <c r="L207" s="187" t="s">
        <v>653</v>
      </c>
      <c r="M207" s="150">
        <v>13.99</v>
      </c>
      <c r="N207" s="193"/>
      <c r="O207" s="193"/>
      <c r="P207" s="193"/>
      <c r="Q207" s="150">
        <v>13</v>
      </c>
      <c r="R207" s="150"/>
    </row>
    <row r="208" spans="1:18" s="95" customFormat="1" ht="47.25">
      <c r="A208" s="61"/>
      <c r="B208" s="13" t="s">
        <v>568</v>
      </c>
      <c r="C208" s="14" t="str">
        <f t="shared" si="117"/>
        <v>89398</v>
      </c>
      <c r="D208" s="15" t="s">
        <v>612</v>
      </c>
      <c r="E208" s="16" t="s">
        <v>297</v>
      </c>
      <c r="F208" s="17">
        <f t="shared" si="119"/>
        <v>7</v>
      </c>
      <c r="G208" s="17">
        <f t="shared" si="118"/>
        <v>11.42</v>
      </c>
      <c r="H208" s="17">
        <f t="shared" si="114"/>
        <v>14.06</v>
      </c>
      <c r="I208" s="17">
        <f t="shared" si="115"/>
        <v>98.42</v>
      </c>
      <c r="J208" s="101">
        <f t="shared" si="116"/>
        <v>1.5406077401685682E-4</v>
      </c>
      <c r="K208" s="188" t="s">
        <v>192</v>
      </c>
      <c r="L208" s="187" t="s">
        <v>654</v>
      </c>
      <c r="M208" s="150">
        <v>12.02</v>
      </c>
      <c r="N208" s="193"/>
      <c r="O208" s="193"/>
      <c r="P208" s="193"/>
      <c r="Q208" s="150">
        <v>7</v>
      </c>
      <c r="R208" s="150"/>
    </row>
    <row r="209" spans="1:18" s="95" customFormat="1" ht="47.25">
      <c r="A209" s="61"/>
      <c r="B209" s="13" t="s">
        <v>569</v>
      </c>
      <c r="C209" s="14" t="str">
        <f t="shared" si="117"/>
        <v>89400</v>
      </c>
      <c r="D209" s="15" t="s">
        <v>613</v>
      </c>
      <c r="E209" s="16" t="s">
        <v>297</v>
      </c>
      <c r="F209" s="17">
        <f t="shared" si="119"/>
        <v>1</v>
      </c>
      <c r="G209" s="17">
        <f t="shared" si="118"/>
        <v>12.85</v>
      </c>
      <c r="H209" s="17">
        <f t="shared" si="114"/>
        <v>15.82</v>
      </c>
      <c r="I209" s="17">
        <f t="shared" si="115"/>
        <v>15.82</v>
      </c>
      <c r="J209" s="101">
        <f t="shared" si="116"/>
        <v>2.4763680602994054E-5</v>
      </c>
      <c r="K209" s="188" t="s">
        <v>192</v>
      </c>
      <c r="L209" s="187" t="s">
        <v>655</v>
      </c>
      <c r="M209" s="150">
        <v>13.53</v>
      </c>
      <c r="N209" s="193"/>
      <c r="O209" s="193"/>
      <c r="P209" s="193"/>
      <c r="Q209" s="150">
        <v>1</v>
      </c>
      <c r="R209" s="150"/>
    </row>
    <row r="210" spans="1:18" s="95" customFormat="1" ht="47.25">
      <c r="A210" s="61"/>
      <c r="B210" s="13" t="s">
        <v>570</v>
      </c>
      <c r="C210" s="14" t="str">
        <f t="shared" si="117"/>
        <v>89402</v>
      </c>
      <c r="D210" s="15" t="s">
        <v>614</v>
      </c>
      <c r="E210" s="16" t="s">
        <v>298</v>
      </c>
      <c r="F210" s="17">
        <v>14</v>
      </c>
      <c r="G210" s="17">
        <f t="shared" si="118"/>
        <v>6.27</v>
      </c>
      <c r="H210" s="17">
        <f t="shared" si="114"/>
        <v>7.72</v>
      </c>
      <c r="I210" s="17">
        <f t="shared" si="115"/>
        <v>108.08</v>
      </c>
      <c r="J210" s="101">
        <f t="shared" si="116"/>
        <v>1.6918195951780009E-4</v>
      </c>
      <c r="K210" s="188" t="s">
        <v>192</v>
      </c>
      <c r="L210" s="187" t="s">
        <v>656</v>
      </c>
      <c r="M210" s="150">
        <v>6.6</v>
      </c>
      <c r="N210" s="193"/>
      <c r="O210" s="193"/>
      <c r="P210" s="193"/>
      <c r="Q210" s="150">
        <v>44</v>
      </c>
      <c r="R210" s="150"/>
    </row>
    <row r="211" spans="1:18" s="95" customFormat="1" ht="31.5">
      <c r="A211" s="61"/>
      <c r="B211" s="13" t="s">
        <v>571</v>
      </c>
      <c r="C211" s="14" t="str">
        <f t="shared" ref="C211:C217" si="125">L211</f>
        <v>89449</v>
      </c>
      <c r="D211" s="15" t="s">
        <v>615</v>
      </c>
      <c r="E211" s="16" t="s">
        <v>298</v>
      </c>
      <c r="F211" s="17">
        <v>28</v>
      </c>
      <c r="G211" s="17">
        <f t="shared" ref="G211:G217" si="126">ROUND(M211*(1-$M$10),2)</f>
        <v>11.43</v>
      </c>
      <c r="H211" s="17">
        <f t="shared" ref="H211:H217" si="127">ROUND(G211*(IF(K211="O",(1+$F$10),(1+$F$19))),2)</f>
        <v>14.08</v>
      </c>
      <c r="I211" s="17">
        <f t="shared" ref="I211:I217" si="128">ROUND((F211*H211),2)</f>
        <v>394.24</v>
      </c>
      <c r="J211" s="101">
        <f t="shared" si="116"/>
        <v>6.171196865312501E-4</v>
      </c>
      <c r="K211" s="188" t="s">
        <v>192</v>
      </c>
      <c r="L211" s="187" t="s">
        <v>657</v>
      </c>
      <c r="M211" s="150">
        <v>12.03</v>
      </c>
      <c r="N211" s="193"/>
      <c r="O211" s="193"/>
      <c r="P211" s="193"/>
      <c r="Q211" s="150">
        <v>13</v>
      </c>
      <c r="R211" s="150"/>
    </row>
    <row r="212" spans="1:18" s="95" customFormat="1" ht="31.5">
      <c r="A212" s="61"/>
      <c r="B212" s="13" t="s">
        <v>572</v>
      </c>
      <c r="C212" s="14" t="str">
        <f t="shared" si="125"/>
        <v>89450</v>
      </c>
      <c r="D212" s="15" t="s">
        <v>616</v>
      </c>
      <c r="E212" s="16" t="s">
        <v>298</v>
      </c>
      <c r="F212" s="17">
        <f t="shared" ref="F212:F213" si="129">ROUND(Q212*$Q$10+R212*$R$10,2)</f>
        <v>19</v>
      </c>
      <c r="G212" s="17">
        <f t="shared" si="126"/>
        <v>18.850000000000001</v>
      </c>
      <c r="H212" s="17">
        <f t="shared" si="127"/>
        <v>23.21</v>
      </c>
      <c r="I212" s="17">
        <f t="shared" si="128"/>
        <v>440.99</v>
      </c>
      <c r="J212" s="101">
        <f t="shared" si="116"/>
        <v>6.9029933685931411E-4</v>
      </c>
      <c r="K212" s="188" t="s">
        <v>192</v>
      </c>
      <c r="L212" s="187" t="s">
        <v>658</v>
      </c>
      <c r="M212" s="150">
        <v>19.84</v>
      </c>
      <c r="N212" s="193"/>
      <c r="O212" s="193"/>
      <c r="P212" s="193"/>
      <c r="Q212" s="150">
        <v>19</v>
      </c>
      <c r="R212" s="150"/>
    </row>
    <row r="213" spans="1:18" s="95" customFormat="1" ht="47.25">
      <c r="A213" s="61"/>
      <c r="B213" s="13" t="s">
        <v>573</v>
      </c>
      <c r="C213" s="14" t="str">
        <f t="shared" si="125"/>
        <v>89985</v>
      </c>
      <c r="D213" s="15" t="s">
        <v>617</v>
      </c>
      <c r="E213" s="16" t="s">
        <v>297</v>
      </c>
      <c r="F213" s="17">
        <f t="shared" si="129"/>
        <v>2</v>
      </c>
      <c r="G213" s="17">
        <f t="shared" si="126"/>
        <v>65.77</v>
      </c>
      <c r="H213" s="17">
        <f t="shared" si="127"/>
        <v>81</v>
      </c>
      <c r="I213" s="17">
        <f t="shared" si="128"/>
        <v>162</v>
      </c>
      <c r="J213" s="101">
        <f t="shared" si="116"/>
        <v>2.5358509846302383E-4</v>
      </c>
      <c r="K213" s="188" t="s">
        <v>192</v>
      </c>
      <c r="L213" s="187" t="s">
        <v>659</v>
      </c>
      <c r="M213" s="150">
        <v>69.23</v>
      </c>
      <c r="N213" s="193"/>
      <c r="O213" s="193"/>
      <c r="P213" s="193"/>
      <c r="Q213" s="150">
        <v>2</v>
      </c>
      <c r="R213" s="150"/>
    </row>
    <row r="214" spans="1:18" s="95" customFormat="1" ht="47.25">
      <c r="A214" s="61"/>
      <c r="B214" s="13" t="s">
        <v>574</v>
      </c>
      <c r="C214" s="14" t="str">
        <f t="shared" si="125"/>
        <v>89987</v>
      </c>
      <c r="D214" s="15" t="s">
        <v>618</v>
      </c>
      <c r="E214" s="16" t="s">
        <v>297</v>
      </c>
      <c r="F214" s="17">
        <v>2</v>
      </c>
      <c r="G214" s="17">
        <f t="shared" si="126"/>
        <v>69.239999999999995</v>
      </c>
      <c r="H214" s="17">
        <f t="shared" si="127"/>
        <v>85.27</v>
      </c>
      <c r="I214" s="17">
        <f t="shared" si="128"/>
        <v>170.54</v>
      </c>
      <c r="J214" s="101">
        <f t="shared" si="116"/>
        <v>2.669531030363215E-4</v>
      </c>
      <c r="K214" s="188" t="s">
        <v>192</v>
      </c>
      <c r="L214" s="187" t="s">
        <v>660</v>
      </c>
      <c r="M214" s="150">
        <v>72.88</v>
      </c>
      <c r="N214" s="193"/>
      <c r="O214" s="193"/>
      <c r="P214" s="193"/>
      <c r="Q214" s="150">
        <v>1</v>
      </c>
      <c r="R214" s="150"/>
    </row>
    <row r="215" spans="1:18" s="95" customFormat="1" ht="78.75">
      <c r="A215" s="61"/>
      <c r="B215" s="13" t="s">
        <v>575</v>
      </c>
      <c r="C215" s="14" t="str">
        <f t="shared" si="125"/>
        <v>94792</v>
      </c>
      <c r="D215" s="15" t="s">
        <v>619</v>
      </c>
      <c r="E215" s="16" t="s">
        <v>297</v>
      </c>
      <c r="F215" s="17">
        <v>7</v>
      </c>
      <c r="G215" s="17">
        <f t="shared" si="126"/>
        <v>98.07</v>
      </c>
      <c r="H215" s="17">
        <f t="shared" si="127"/>
        <v>120.77</v>
      </c>
      <c r="I215" s="17">
        <f t="shared" si="128"/>
        <v>845.39</v>
      </c>
      <c r="J215" s="101">
        <f t="shared" si="116"/>
        <v>1.3233228789484922E-3</v>
      </c>
      <c r="K215" s="188" t="s">
        <v>192</v>
      </c>
      <c r="L215" s="187" t="s">
        <v>661</v>
      </c>
      <c r="M215" s="150">
        <v>103.23</v>
      </c>
      <c r="N215" s="193"/>
      <c r="O215" s="193"/>
      <c r="P215" s="193"/>
      <c r="Q215" s="150">
        <v>5</v>
      </c>
      <c r="R215" s="150"/>
    </row>
    <row r="216" spans="1:18" s="95" customFormat="1" ht="47.25">
      <c r="A216" s="61"/>
      <c r="B216" s="13" t="s">
        <v>576</v>
      </c>
      <c r="C216" s="14" t="str">
        <f t="shared" si="125"/>
        <v>99635</v>
      </c>
      <c r="D216" s="15" t="s">
        <v>620</v>
      </c>
      <c r="E216" s="16" t="s">
        <v>297</v>
      </c>
      <c r="F216" s="17">
        <v>7</v>
      </c>
      <c r="G216" s="17">
        <f t="shared" si="126"/>
        <v>219.31</v>
      </c>
      <c r="H216" s="17">
        <f t="shared" si="127"/>
        <v>270.08</v>
      </c>
      <c r="I216" s="17">
        <f t="shared" si="128"/>
        <v>1890.56</v>
      </c>
      <c r="J216" s="101">
        <f t="shared" si="116"/>
        <v>2.9593694058657675E-3</v>
      </c>
      <c r="K216" s="188" t="s">
        <v>192</v>
      </c>
      <c r="L216" s="187" t="s">
        <v>662</v>
      </c>
      <c r="M216" s="150">
        <v>230.85</v>
      </c>
      <c r="N216" s="193"/>
      <c r="O216" s="193"/>
      <c r="P216" s="193"/>
      <c r="Q216" s="150">
        <v>13</v>
      </c>
      <c r="R216" s="150"/>
    </row>
    <row r="217" spans="1:18" s="95" customFormat="1" ht="47.25">
      <c r="A217" s="61"/>
      <c r="B217" s="13" t="s">
        <v>577</v>
      </c>
      <c r="C217" s="14" t="str">
        <f t="shared" si="125"/>
        <v>91222</v>
      </c>
      <c r="D217" s="15" t="s">
        <v>466</v>
      </c>
      <c r="E217" s="16" t="s">
        <v>298</v>
      </c>
      <c r="F217" s="17">
        <v>41.5</v>
      </c>
      <c r="G217" s="17">
        <f t="shared" si="126"/>
        <v>9.25</v>
      </c>
      <c r="H217" s="17">
        <f t="shared" si="127"/>
        <v>11.39</v>
      </c>
      <c r="I217" s="17">
        <f t="shared" si="128"/>
        <v>472.69</v>
      </c>
      <c r="J217" s="101">
        <f t="shared" si="116"/>
        <v>7.3992061847214029E-4</v>
      </c>
      <c r="K217" s="188" t="s">
        <v>192</v>
      </c>
      <c r="L217" s="187" t="s">
        <v>663</v>
      </c>
      <c r="M217" s="150">
        <v>9.74</v>
      </c>
      <c r="N217" s="193"/>
      <c r="O217" s="193"/>
      <c r="P217" s="193"/>
      <c r="Q217" s="150">
        <v>32</v>
      </c>
      <c r="R217" s="150"/>
    </row>
    <row r="218" spans="1:18" s="95" customFormat="1" ht="31.5">
      <c r="A218" s="61"/>
      <c r="B218" s="13" t="s">
        <v>578</v>
      </c>
      <c r="C218" s="14" t="str">
        <f t="shared" si="117"/>
        <v>90443</v>
      </c>
      <c r="D218" s="15" t="s">
        <v>621</v>
      </c>
      <c r="E218" s="16" t="s">
        <v>298</v>
      </c>
      <c r="F218" s="17">
        <v>11.5</v>
      </c>
      <c r="G218" s="17">
        <f t="shared" si="118"/>
        <v>8.59</v>
      </c>
      <c r="H218" s="17">
        <f t="shared" si="114"/>
        <v>10.58</v>
      </c>
      <c r="I218" s="17">
        <f t="shared" si="115"/>
        <v>121.67</v>
      </c>
      <c r="J218" s="101">
        <f t="shared" si="116"/>
        <v>1.9045493166664265E-4</v>
      </c>
      <c r="K218" s="188" t="s">
        <v>192</v>
      </c>
      <c r="L218" s="187" t="s">
        <v>664</v>
      </c>
      <c r="M218" s="150">
        <v>9.0399999999999991</v>
      </c>
      <c r="N218" s="154"/>
      <c r="O218" s="154"/>
      <c r="P218" s="154"/>
      <c r="Q218" s="150">
        <v>58</v>
      </c>
      <c r="R218" s="150"/>
    </row>
    <row r="219" spans="1:18" s="95" customFormat="1" ht="47.25">
      <c r="A219" s="61"/>
      <c r="B219" s="13" t="s">
        <v>579</v>
      </c>
      <c r="C219" s="14" t="str">
        <f t="shared" si="117"/>
        <v>90466</v>
      </c>
      <c r="D219" s="15" t="s">
        <v>467</v>
      </c>
      <c r="E219" s="16" t="s">
        <v>298</v>
      </c>
      <c r="F219" s="17">
        <v>41.5</v>
      </c>
      <c r="G219" s="17">
        <f t="shared" si="118"/>
        <v>8.59</v>
      </c>
      <c r="H219" s="17">
        <f t="shared" si="114"/>
        <v>10.58</v>
      </c>
      <c r="I219" s="17">
        <f t="shared" si="115"/>
        <v>439.07</v>
      </c>
      <c r="J219" s="101">
        <f t="shared" si="116"/>
        <v>6.8729388384049304E-4</v>
      </c>
      <c r="K219" s="188" t="s">
        <v>192</v>
      </c>
      <c r="L219" s="187" t="s">
        <v>665</v>
      </c>
      <c r="M219" s="150">
        <v>9.0399999999999991</v>
      </c>
      <c r="N219" s="154"/>
      <c r="O219" s="154"/>
      <c r="P219" s="154"/>
      <c r="Q219" s="150">
        <v>58</v>
      </c>
      <c r="R219" s="150"/>
    </row>
    <row r="220" spans="1:18" s="95" customFormat="1" ht="47.25">
      <c r="A220" s="61"/>
      <c r="B220" s="13" t="s">
        <v>580</v>
      </c>
      <c r="C220" s="14" t="str">
        <f t="shared" si="117"/>
        <v>90467</v>
      </c>
      <c r="D220" s="15" t="s">
        <v>468</v>
      </c>
      <c r="E220" s="16" t="s">
        <v>298</v>
      </c>
      <c r="F220" s="17">
        <v>11.5</v>
      </c>
      <c r="G220" s="17">
        <f t="shared" si="118"/>
        <v>13.59</v>
      </c>
      <c r="H220" s="17">
        <f t="shared" si="114"/>
        <v>16.739999999999998</v>
      </c>
      <c r="I220" s="17">
        <f t="shared" si="115"/>
        <v>192.51</v>
      </c>
      <c r="J220" s="101">
        <f t="shared" si="116"/>
        <v>3.0134362534022663E-4</v>
      </c>
      <c r="K220" s="188" t="s">
        <v>192</v>
      </c>
      <c r="L220" s="187" t="s">
        <v>666</v>
      </c>
      <c r="M220" s="150">
        <v>14.3</v>
      </c>
      <c r="N220" s="154"/>
      <c r="O220" s="154"/>
      <c r="P220" s="154"/>
      <c r="Q220" s="150">
        <v>32</v>
      </c>
      <c r="R220" s="150"/>
    </row>
    <row r="221" spans="1:18" s="95" customFormat="1" ht="31.5">
      <c r="A221" s="61"/>
      <c r="B221" s="13" t="s">
        <v>581</v>
      </c>
      <c r="C221" s="14" t="str">
        <f t="shared" si="117"/>
        <v>89625</v>
      </c>
      <c r="D221" s="15" t="s">
        <v>622</v>
      </c>
      <c r="E221" s="16" t="s">
        <v>297</v>
      </c>
      <c r="F221" s="17">
        <f t="shared" si="119"/>
        <v>2</v>
      </c>
      <c r="G221" s="17">
        <f t="shared" si="118"/>
        <v>13.83</v>
      </c>
      <c r="H221" s="17">
        <f t="shared" si="114"/>
        <v>17.03</v>
      </c>
      <c r="I221" s="17">
        <f t="shared" si="115"/>
        <v>34.06</v>
      </c>
      <c r="J221" s="101">
        <f t="shared" si="116"/>
        <v>5.3315484281793778E-5</v>
      </c>
      <c r="K221" s="188" t="s">
        <v>192</v>
      </c>
      <c r="L221" s="187" t="s">
        <v>667</v>
      </c>
      <c r="M221" s="150">
        <v>14.56</v>
      </c>
      <c r="N221" s="154"/>
      <c r="O221" s="154"/>
      <c r="P221" s="154"/>
      <c r="Q221" s="150">
        <v>2</v>
      </c>
      <c r="R221" s="150"/>
    </row>
    <row r="222" spans="1:18" s="95" customFormat="1">
      <c r="A222" s="61"/>
      <c r="B222" s="36"/>
      <c r="C222" s="37"/>
      <c r="D222" s="38" t="s">
        <v>14</v>
      </c>
      <c r="E222" s="37"/>
      <c r="F222" s="39"/>
      <c r="G222" s="40"/>
      <c r="H222" s="41"/>
      <c r="I222" s="18">
        <f>ROUND(SUM(I176:I221),2)</f>
        <v>11492.06</v>
      </c>
      <c r="J222" s="102">
        <f t="shared" si="116"/>
        <v>1.7988982510141836E-2</v>
      </c>
      <c r="K222" s="57"/>
      <c r="L222" s="187"/>
      <c r="M222" s="94"/>
      <c r="N222" s="154"/>
      <c r="O222" s="154"/>
      <c r="P222" s="154"/>
      <c r="Q222" s="150"/>
      <c r="R222" s="150"/>
    </row>
    <row r="223" spans="1:18" s="95" customFormat="1" ht="9.9499999999999993" customHeight="1">
      <c r="A223" s="61"/>
      <c r="B223" s="131"/>
      <c r="C223" s="132"/>
      <c r="D223" s="133"/>
      <c r="E223" s="132"/>
      <c r="F223" s="134"/>
      <c r="G223" s="136"/>
      <c r="H223" s="138"/>
      <c r="I223" s="136"/>
      <c r="J223" s="137"/>
      <c r="K223" s="57"/>
      <c r="L223" s="187"/>
      <c r="M223" s="94"/>
      <c r="N223" s="154"/>
      <c r="O223" s="154"/>
      <c r="P223" s="154"/>
      <c r="Q223" s="150"/>
      <c r="R223" s="150"/>
    </row>
    <row r="224" spans="1:18" s="95" customFormat="1">
      <c r="A224" s="61"/>
      <c r="B224" s="58" t="s">
        <v>668</v>
      </c>
      <c r="C224" s="45"/>
      <c r="D224" s="59" t="s">
        <v>212</v>
      </c>
      <c r="E224" s="46"/>
      <c r="F224" s="47"/>
      <c r="G224" s="48"/>
      <c r="H224" s="49"/>
      <c r="I224" s="51"/>
      <c r="J224" s="27"/>
      <c r="K224" s="191"/>
      <c r="L224" s="187"/>
      <c r="M224" s="94"/>
      <c r="N224" s="154"/>
      <c r="O224" s="154"/>
      <c r="P224" s="154"/>
      <c r="Q224" s="150"/>
      <c r="R224" s="150"/>
    </row>
    <row r="225" spans="1:18" s="95" customFormat="1" ht="47.25">
      <c r="A225" s="61"/>
      <c r="B225" s="13" t="s">
        <v>675</v>
      </c>
      <c r="C225" s="14" t="str">
        <f t="shared" ref="C225:C227" si="130">L225</f>
        <v>89578</v>
      </c>
      <c r="D225" s="15" t="s">
        <v>669</v>
      </c>
      <c r="E225" s="16" t="s">
        <v>298</v>
      </c>
      <c r="F225" s="17">
        <v>55.75</v>
      </c>
      <c r="G225" s="17">
        <f t="shared" ref="G225:G227" si="131">ROUND(M225*(1-$M$10),2)</f>
        <v>27.66</v>
      </c>
      <c r="H225" s="17">
        <f t="shared" ref="H225:H227" si="132">ROUND(G225*(IF(K225="O",(1+$F$10),(1+$F$19))),2)</f>
        <v>34.06</v>
      </c>
      <c r="I225" s="17">
        <f t="shared" ref="I225:I227" si="133">ROUND((F225*H225),2)</f>
        <v>1898.85</v>
      </c>
      <c r="J225" s="101">
        <f>I225/$I$284</f>
        <v>2.9723460754105726E-3</v>
      </c>
      <c r="K225" s="188" t="s">
        <v>192</v>
      </c>
      <c r="L225" s="187" t="s">
        <v>672</v>
      </c>
      <c r="M225" s="150">
        <v>29.12</v>
      </c>
      <c r="N225" s="154"/>
      <c r="O225" s="154"/>
      <c r="P225" s="154"/>
      <c r="Q225" s="150">
        <v>93</v>
      </c>
      <c r="R225" s="150"/>
    </row>
    <row r="226" spans="1:18" s="95" customFormat="1" ht="47.25">
      <c r="A226" s="61"/>
      <c r="B226" s="13" t="s">
        <v>676</v>
      </c>
      <c r="C226" s="14" t="str">
        <f t="shared" si="130"/>
        <v>89529</v>
      </c>
      <c r="D226" s="15" t="s">
        <v>670</v>
      </c>
      <c r="E226" s="16" t="s">
        <v>297</v>
      </c>
      <c r="F226" s="17">
        <v>28</v>
      </c>
      <c r="G226" s="17">
        <f t="shared" si="131"/>
        <v>26.61</v>
      </c>
      <c r="H226" s="17">
        <f t="shared" si="132"/>
        <v>32.770000000000003</v>
      </c>
      <c r="I226" s="17">
        <f t="shared" si="133"/>
        <v>917.56</v>
      </c>
      <c r="J226" s="101">
        <f>I226/$I$284</f>
        <v>1.4362934749736552E-3</v>
      </c>
      <c r="K226" s="188" t="s">
        <v>192</v>
      </c>
      <c r="L226" s="187" t="s">
        <v>673</v>
      </c>
      <c r="M226" s="150">
        <v>28.01</v>
      </c>
      <c r="N226" s="154"/>
      <c r="O226" s="154"/>
      <c r="P226" s="154"/>
      <c r="Q226" s="150">
        <v>26</v>
      </c>
      <c r="R226" s="150"/>
    </row>
    <row r="227" spans="1:18" s="95" customFormat="1" ht="63">
      <c r="A227" s="61"/>
      <c r="B227" s="13" t="s">
        <v>677</v>
      </c>
      <c r="C227" s="14" t="str">
        <f t="shared" si="130"/>
        <v>91181</v>
      </c>
      <c r="D227" s="15" t="s">
        <v>671</v>
      </c>
      <c r="E227" s="16" t="s">
        <v>298</v>
      </c>
      <c r="F227" s="17">
        <v>55.75</v>
      </c>
      <c r="G227" s="17">
        <f t="shared" si="131"/>
        <v>4.2300000000000004</v>
      </c>
      <c r="H227" s="17">
        <f t="shared" si="132"/>
        <v>5.21</v>
      </c>
      <c r="I227" s="17">
        <f t="shared" si="133"/>
        <v>290.45999999999998</v>
      </c>
      <c r="J227" s="101">
        <f>I227/$I$284</f>
        <v>4.546686895035179E-4</v>
      </c>
      <c r="K227" s="188" t="s">
        <v>192</v>
      </c>
      <c r="L227" s="187" t="s">
        <v>674</v>
      </c>
      <c r="M227" s="150">
        <v>4.45</v>
      </c>
      <c r="N227" s="154"/>
      <c r="O227" s="154"/>
      <c r="P227" s="154"/>
      <c r="Q227" s="150">
        <v>64</v>
      </c>
      <c r="R227" s="150"/>
    </row>
    <row r="228" spans="1:18" s="95" customFormat="1">
      <c r="A228" s="61"/>
      <c r="B228" s="43"/>
      <c r="C228" s="44"/>
      <c r="D228" s="38" t="s">
        <v>14</v>
      </c>
      <c r="E228" s="37"/>
      <c r="F228" s="39"/>
      <c r="G228" s="40"/>
      <c r="H228" s="41"/>
      <c r="I228" s="18">
        <f>ROUND(SUM(I225:I227),2)</f>
        <v>3106.87</v>
      </c>
      <c r="J228" s="102">
        <f>I228/$I$284</f>
        <v>4.8633082398877462E-3</v>
      </c>
      <c r="K228" s="57"/>
      <c r="L228" s="187"/>
      <c r="M228" s="94"/>
      <c r="N228" s="154"/>
      <c r="O228" s="154"/>
      <c r="P228" s="154"/>
      <c r="Q228" s="150"/>
      <c r="R228" s="150"/>
    </row>
    <row r="229" spans="1:18" s="95" customFormat="1" ht="9.9499999999999993" customHeight="1">
      <c r="A229" s="61"/>
      <c r="B229" s="139"/>
      <c r="C229" s="140"/>
      <c r="D229" s="141"/>
      <c r="E229" s="142"/>
      <c r="F229" s="135"/>
      <c r="G229" s="135"/>
      <c r="H229" s="135"/>
      <c r="I229" s="135"/>
      <c r="J229" s="143"/>
      <c r="K229" s="94"/>
      <c r="L229" s="187"/>
      <c r="M229" s="94"/>
      <c r="N229" s="154"/>
      <c r="O229" s="154"/>
      <c r="P229" s="154"/>
      <c r="Q229" s="150"/>
      <c r="R229" s="150"/>
    </row>
    <row r="230" spans="1:18" s="95" customFormat="1">
      <c r="A230" s="61"/>
      <c r="B230" s="36"/>
      <c r="C230" s="37"/>
      <c r="D230" s="38" t="s">
        <v>90</v>
      </c>
      <c r="E230" s="37"/>
      <c r="F230" s="39"/>
      <c r="G230" s="40"/>
      <c r="H230" s="41"/>
      <c r="I230" s="18">
        <f>ROUND(I228+I222+I173+I154,2)</f>
        <v>27162.54</v>
      </c>
      <c r="J230" s="102">
        <f>I230/$I$284</f>
        <v>4.251861345929521E-2</v>
      </c>
      <c r="K230" s="57"/>
      <c r="L230" s="187"/>
      <c r="M230" s="94"/>
      <c r="N230" s="154"/>
      <c r="O230" s="154"/>
      <c r="P230" s="154"/>
      <c r="Q230" s="150"/>
      <c r="R230" s="150"/>
    </row>
    <row r="231" spans="1:18" s="1" customFormat="1" ht="9.9499999999999993" customHeight="1">
      <c r="A231" s="62"/>
      <c r="B231" s="127"/>
      <c r="C231" s="128"/>
      <c r="D231" s="128"/>
      <c r="E231" s="128"/>
      <c r="F231" s="129"/>
      <c r="G231" s="129"/>
      <c r="H231" s="129"/>
      <c r="I231" s="129"/>
      <c r="J231" s="130"/>
      <c r="K231" s="189"/>
      <c r="L231" s="187"/>
      <c r="M231" s="94"/>
      <c r="N231" s="154"/>
      <c r="O231" s="154"/>
      <c r="P231" s="154"/>
      <c r="Q231" s="150"/>
      <c r="R231" s="150"/>
    </row>
    <row r="232" spans="1:18" s="1" customFormat="1">
      <c r="A232" s="62"/>
      <c r="B232" s="12" t="s">
        <v>91</v>
      </c>
      <c r="C232" s="22"/>
      <c r="D232" s="23" t="s">
        <v>100</v>
      </c>
      <c r="E232" s="19"/>
      <c r="F232" s="20"/>
      <c r="G232" s="21"/>
      <c r="H232" s="20"/>
      <c r="I232" s="21"/>
      <c r="J232" s="8"/>
      <c r="K232" s="190"/>
      <c r="L232" s="187"/>
      <c r="M232" s="94"/>
      <c r="N232" s="154"/>
      <c r="O232" s="154"/>
      <c r="P232" s="154"/>
      <c r="Q232" s="150"/>
      <c r="R232" s="150"/>
    </row>
    <row r="233" spans="1:18" s="1" customFormat="1" ht="47.25">
      <c r="A233" s="62"/>
      <c r="B233" s="13" t="s">
        <v>94</v>
      </c>
      <c r="C233" s="14">
        <f t="shared" ref="C233:C263" si="134">L233</f>
        <v>91924</v>
      </c>
      <c r="D233" s="15" t="s">
        <v>454</v>
      </c>
      <c r="E233" s="16" t="s">
        <v>298</v>
      </c>
      <c r="F233" s="17">
        <v>89.52</v>
      </c>
      <c r="G233" s="17">
        <f t="shared" ref="G233:G263" si="135">ROUND(M233*(1-$M$10),2)</f>
        <v>1.98</v>
      </c>
      <c r="H233" s="17">
        <f t="shared" ref="H233:H263" si="136">ROUND(G233*(IF(K233="O",(1+$F$10),(1+$F$19))),2)</f>
        <v>2.44</v>
      </c>
      <c r="I233" s="17">
        <f t="shared" ref="I233:I263" si="137">ROUND((F233*H233),2)</f>
        <v>218.43</v>
      </c>
      <c r="J233" s="101">
        <f t="shared" ref="J233:J264" si="138">I233/$I$284</f>
        <v>3.4191724109431049E-4</v>
      </c>
      <c r="K233" s="188" t="s">
        <v>192</v>
      </c>
      <c r="L233" s="187">
        <v>91924</v>
      </c>
      <c r="M233" s="150">
        <v>2.08</v>
      </c>
      <c r="N233" s="154"/>
      <c r="O233" s="154"/>
      <c r="P233" s="154"/>
      <c r="Q233" s="150">
        <v>2603.1</v>
      </c>
      <c r="R233" s="150"/>
    </row>
    <row r="234" spans="1:18" s="1" customFormat="1" ht="47.25">
      <c r="A234" s="62"/>
      <c r="B234" s="13" t="s">
        <v>95</v>
      </c>
      <c r="C234" s="14">
        <f t="shared" si="134"/>
        <v>91926</v>
      </c>
      <c r="D234" s="15" t="s">
        <v>455</v>
      </c>
      <c r="E234" s="16" t="s">
        <v>298</v>
      </c>
      <c r="F234" s="17">
        <v>731.58</v>
      </c>
      <c r="G234" s="17">
        <f t="shared" si="135"/>
        <v>2.89</v>
      </c>
      <c r="H234" s="17">
        <f t="shared" si="136"/>
        <v>3.56</v>
      </c>
      <c r="I234" s="17">
        <f t="shared" si="137"/>
        <v>2604.42</v>
      </c>
      <c r="J234" s="101">
        <f t="shared" si="138"/>
        <v>4.0768030996238798E-3</v>
      </c>
      <c r="K234" s="188" t="s">
        <v>192</v>
      </c>
      <c r="L234" s="187">
        <v>91926</v>
      </c>
      <c r="M234" s="150">
        <v>3.04</v>
      </c>
      <c r="N234" s="154"/>
      <c r="O234" s="154"/>
      <c r="P234" s="154"/>
      <c r="Q234" s="150">
        <v>2853.3</v>
      </c>
      <c r="R234" s="150"/>
    </row>
    <row r="235" spans="1:18" s="1" customFormat="1" ht="47.25">
      <c r="A235" s="62"/>
      <c r="B235" s="13" t="s">
        <v>98</v>
      </c>
      <c r="C235" s="14">
        <f t="shared" si="134"/>
        <v>91932</v>
      </c>
      <c r="D235" s="15" t="s">
        <v>456</v>
      </c>
      <c r="E235" s="16" t="s">
        <v>298</v>
      </c>
      <c r="F235" s="17">
        <v>270.58999999999997</v>
      </c>
      <c r="G235" s="17">
        <f t="shared" si="135"/>
        <v>10.7</v>
      </c>
      <c r="H235" s="17">
        <f t="shared" si="136"/>
        <v>13.18</v>
      </c>
      <c r="I235" s="17">
        <f t="shared" si="137"/>
        <v>3566.38</v>
      </c>
      <c r="J235" s="101">
        <f t="shared" si="138"/>
        <v>5.582597675657771E-3</v>
      </c>
      <c r="K235" s="188" t="s">
        <v>192</v>
      </c>
      <c r="L235" s="187">
        <v>91932</v>
      </c>
      <c r="M235" s="150">
        <v>11.26</v>
      </c>
      <c r="N235" s="154"/>
      <c r="O235" s="154"/>
      <c r="P235" s="154"/>
      <c r="Q235" s="150">
        <v>103.3</v>
      </c>
      <c r="R235" s="150"/>
    </row>
    <row r="236" spans="1:18" s="1" customFormat="1" ht="47.25">
      <c r="A236" s="62"/>
      <c r="B236" s="13" t="s">
        <v>127</v>
      </c>
      <c r="C236" s="14">
        <f t="shared" si="134"/>
        <v>92981</v>
      </c>
      <c r="D236" s="15" t="s">
        <v>457</v>
      </c>
      <c r="E236" s="16" t="s">
        <v>298</v>
      </c>
      <c r="F236" s="17">
        <v>5</v>
      </c>
      <c r="G236" s="17">
        <f t="shared" si="135"/>
        <v>11.35</v>
      </c>
      <c r="H236" s="17">
        <f t="shared" si="136"/>
        <v>13.98</v>
      </c>
      <c r="I236" s="17">
        <f t="shared" si="137"/>
        <v>69.900000000000006</v>
      </c>
      <c r="J236" s="101">
        <f t="shared" si="138"/>
        <v>1.0941727396645289E-4</v>
      </c>
      <c r="K236" s="188" t="s">
        <v>192</v>
      </c>
      <c r="L236" s="187">
        <v>92981</v>
      </c>
      <c r="M236" s="150">
        <v>11.95</v>
      </c>
      <c r="N236" s="154"/>
      <c r="O236" s="154"/>
      <c r="P236" s="154"/>
      <c r="Q236" s="150">
        <v>425</v>
      </c>
      <c r="R236" s="150"/>
    </row>
    <row r="237" spans="1:18" s="1" customFormat="1" ht="47.25">
      <c r="A237" s="62"/>
      <c r="B237" s="13" t="s">
        <v>128</v>
      </c>
      <c r="C237" s="14">
        <v>92985</v>
      </c>
      <c r="D237" s="15" t="s">
        <v>719</v>
      </c>
      <c r="E237" s="16" t="s">
        <v>298</v>
      </c>
      <c r="F237" s="17">
        <v>20</v>
      </c>
      <c r="G237" s="17">
        <f t="shared" si="135"/>
        <v>26.16</v>
      </c>
      <c r="H237" s="17">
        <f t="shared" si="136"/>
        <v>32.22</v>
      </c>
      <c r="I237" s="17">
        <f t="shared" si="137"/>
        <v>644.4</v>
      </c>
      <c r="J237" s="101">
        <f t="shared" si="138"/>
        <v>1.0087051694418058E-3</v>
      </c>
      <c r="K237" s="188" t="s">
        <v>192</v>
      </c>
      <c r="L237" s="187">
        <v>92983</v>
      </c>
      <c r="M237" s="150">
        <v>27.54</v>
      </c>
      <c r="N237" s="154"/>
      <c r="O237" s="154"/>
      <c r="P237" s="154"/>
      <c r="Q237" s="150">
        <v>8.1999999999999993</v>
      </c>
      <c r="R237" s="150"/>
    </row>
    <row r="238" spans="1:18" s="1" customFormat="1" ht="31.5">
      <c r="A238" s="62"/>
      <c r="B238" s="13" t="s">
        <v>129</v>
      </c>
      <c r="C238" s="14">
        <f t="shared" si="134"/>
        <v>92865</v>
      </c>
      <c r="D238" s="15" t="s">
        <v>458</v>
      </c>
      <c r="E238" s="16" t="s">
        <v>297</v>
      </c>
      <c r="F238" s="17">
        <v>36</v>
      </c>
      <c r="G238" s="17">
        <f t="shared" si="135"/>
        <v>6.94</v>
      </c>
      <c r="H238" s="17">
        <f t="shared" si="136"/>
        <v>8.5500000000000007</v>
      </c>
      <c r="I238" s="17">
        <f t="shared" si="137"/>
        <v>307.8</v>
      </c>
      <c r="J238" s="101">
        <f t="shared" si="138"/>
        <v>4.8181168707974527E-4</v>
      </c>
      <c r="K238" s="188" t="s">
        <v>192</v>
      </c>
      <c r="L238" s="187">
        <v>92865</v>
      </c>
      <c r="M238" s="150">
        <v>7.3</v>
      </c>
      <c r="N238" s="154"/>
      <c r="O238" s="154"/>
      <c r="P238" s="154"/>
      <c r="Q238" s="150">
        <v>276</v>
      </c>
      <c r="R238" s="150"/>
    </row>
    <row r="239" spans="1:18" s="1" customFormat="1" ht="47.25">
      <c r="A239" s="62"/>
      <c r="B239" s="13" t="s">
        <v>130</v>
      </c>
      <c r="C239" s="14">
        <f t="shared" si="134"/>
        <v>92869</v>
      </c>
      <c r="D239" s="15" t="s">
        <v>459</v>
      </c>
      <c r="E239" s="16" t="s">
        <v>297</v>
      </c>
      <c r="F239" s="17">
        <v>4</v>
      </c>
      <c r="G239" s="17">
        <f t="shared" si="135"/>
        <v>6.12</v>
      </c>
      <c r="H239" s="17">
        <f t="shared" si="136"/>
        <v>7.54</v>
      </c>
      <c r="I239" s="17">
        <f t="shared" si="137"/>
        <v>30.16</v>
      </c>
      <c r="J239" s="101">
        <f t="shared" si="138"/>
        <v>4.721065783731357E-5</v>
      </c>
      <c r="K239" s="188" t="s">
        <v>192</v>
      </c>
      <c r="L239" s="187">
        <v>92869</v>
      </c>
      <c r="M239" s="150">
        <v>6.44</v>
      </c>
      <c r="N239" s="154"/>
      <c r="O239" s="154"/>
      <c r="P239" s="154"/>
      <c r="Q239" s="150">
        <v>37</v>
      </c>
      <c r="R239" s="150"/>
    </row>
    <row r="240" spans="1:18" s="1" customFormat="1" ht="47.25">
      <c r="A240" s="62"/>
      <c r="B240" s="13" t="s">
        <v>134</v>
      </c>
      <c r="C240" s="14">
        <f t="shared" si="134"/>
        <v>92868</v>
      </c>
      <c r="D240" s="15" t="s">
        <v>460</v>
      </c>
      <c r="E240" s="16" t="s">
        <v>297</v>
      </c>
      <c r="F240" s="17">
        <v>27</v>
      </c>
      <c r="G240" s="17">
        <f t="shared" si="135"/>
        <v>9.39</v>
      </c>
      <c r="H240" s="17">
        <f t="shared" si="136"/>
        <v>11.56</v>
      </c>
      <c r="I240" s="17">
        <f t="shared" si="137"/>
        <v>312.12</v>
      </c>
      <c r="J240" s="101">
        <f t="shared" si="138"/>
        <v>4.8857395637209259E-4</v>
      </c>
      <c r="K240" s="188" t="s">
        <v>192</v>
      </c>
      <c r="L240" s="187">
        <v>92868</v>
      </c>
      <c r="M240" s="150">
        <v>9.8800000000000008</v>
      </c>
      <c r="N240" s="154"/>
      <c r="O240" s="154"/>
      <c r="P240" s="154"/>
      <c r="Q240" s="150">
        <v>65</v>
      </c>
      <c r="R240" s="150"/>
    </row>
    <row r="241" spans="1:18" s="1" customFormat="1" ht="47.25">
      <c r="A241" s="62"/>
      <c r="B241" s="13" t="s">
        <v>135</v>
      </c>
      <c r="C241" s="14">
        <f t="shared" si="134"/>
        <v>92867</v>
      </c>
      <c r="D241" s="15" t="s">
        <v>461</v>
      </c>
      <c r="E241" s="16" t="s">
        <v>297</v>
      </c>
      <c r="F241" s="17">
        <v>5</v>
      </c>
      <c r="G241" s="17">
        <f t="shared" si="135"/>
        <v>18.100000000000001</v>
      </c>
      <c r="H241" s="17">
        <f t="shared" si="136"/>
        <v>22.29</v>
      </c>
      <c r="I241" s="17">
        <f t="shared" si="137"/>
        <v>111.45</v>
      </c>
      <c r="J241" s="101">
        <f t="shared" si="138"/>
        <v>1.7445715570187659E-4</v>
      </c>
      <c r="K241" s="188" t="s">
        <v>192</v>
      </c>
      <c r="L241" s="187">
        <v>92867</v>
      </c>
      <c r="M241" s="150">
        <v>19.05</v>
      </c>
      <c r="N241" s="154"/>
      <c r="O241" s="154"/>
      <c r="P241" s="154"/>
      <c r="Q241" s="150">
        <v>47</v>
      </c>
      <c r="R241" s="150"/>
    </row>
    <row r="242" spans="1:18" s="1" customFormat="1" ht="47.25">
      <c r="A242" s="62"/>
      <c r="B242" s="13" t="s">
        <v>136</v>
      </c>
      <c r="C242" s="14">
        <f t="shared" si="134"/>
        <v>91855</v>
      </c>
      <c r="D242" s="15" t="s">
        <v>462</v>
      </c>
      <c r="E242" s="16" t="s">
        <v>298</v>
      </c>
      <c r="F242" s="17">
        <v>96.58</v>
      </c>
      <c r="G242" s="17">
        <f t="shared" si="135"/>
        <v>6.8</v>
      </c>
      <c r="H242" s="17">
        <f t="shared" si="136"/>
        <v>8.3699999999999992</v>
      </c>
      <c r="I242" s="17">
        <f t="shared" si="137"/>
        <v>808.37</v>
      </c>
      <c r="J242" s="101">
        <f t="shared" si="138"/>
        <v>1.2653739879293492E-3</v>
      </c>
      <c r="K242" s="188" t="s">
        <v>192</v>
      </c>
      <c r="L242" s="187">
        <v>91855</v>
      </c>
      <c r="M242" s="150">
        <v>7.16</v>
      </c>
      <c r="N242" s="154"/>
      <c r="O242" s="154"/>
      <c r="P242" s="154"/>
      <c r="Q242" s="150">
        <v>1293.4000000000001</v>
      </c>
      <c r="R242" s="150"/>
    </row>
    <row r="243" spans="1:18" s="1" customFormat="1" ht="47.25">
      <c r="A243" s="62"/>
      <c r="B243" s="13" t="s">
        <v>161</v>
      </c>
      <c r="C243" s="14">
        <f t="shared" si="134"/>
        <v>91845</v>
      </c>
      <c r="D243" s="15" t="s">
        <v>463</v>
      </c>
      <c r="E243" s="16" t="s">
        <v>298</v>
      </c>
      <c r="F243" s="17">
        <v>64.38</v>
      </c>
      <c r="G243" s="17">
        <f t="shared" si="135"/>
        <v>5.18</v>
      </c>
      <c r="H243" s="17">
        <f t="shared" si="136"/>
        <v>6.38</v>
      </c>
      <c r="I243" s="17">
        <f t="shared" si="137"/>
        <v>410.74</v>
      </c>
      <c r="J243" s="101">
        <f t="shared" si="138"/>
        <v>6.4294779841174324E-4</v>
      </c>
      <c r="K243" s="188" t="s">
        <v>192</v>
      </c>
      <c r="L243" s="187">
        <v>91845</v>
      </c>
      <c r="M243" s="150">
        <v>5.45</v>
      </c>
      <c r="N243" s="154"/>
      <c r="O243" s="154"/>
      <c r="P243" s="154"/>
      <c r="Q243" s="150">
        <v>666.3</v>
      </c>
      <c r="R243" s="150"/>
    </row>
    <row r="244" spans="1:18" s="1" customFormat="1" ht="47.25">
      <c r="A244" s="62"/>
      <c r="B244" s="13" t="s">
        <v>678</v>
      </c>
      <c r="C244" s="14">
        <f t="shared" si="134"/>
        <v>95745</v>
      </c>
      <c r="D244" s="15" t="s">
        <v>464</v>
      </c>
      <c r="E244" s="16" t="s">
        <v>298</v>
      </c>
      <c r="F244" s="17">
        <v>119.1</v>
      </c>
      <c r="G244" s="17">
        <f t="shared" si="135"/>
        <v>14.21</v>
      </c>
      <c r="H244" s="17">
        <f t="shared" si="136"/>
        <v>17.5</v>
      </c>
      <c r="I244" s="17">
        <f t="shared" si="137"/>
        <v>2084.25</v>
      </c>
      <c r="J244" s="101">
        <f t="shared" si="138"/>
        <v>3.262560132540478E-3</v>
      </c>
      <c r="K244" s="94" t="s">
        <v>192</v>
      </c>
      <c r="L244" s="187">
        <v>95745</v>
      </c>
      <c r="M244" s="150">
        <v>14.96</v>
      </c>
      <c r="N244" s="154"/>
      <c r="O244" s="154"/>
      <c r="P244" s="154"/>
      <c r="Q244" s="150">
        <v>50.6</v>
      </c>
      <c r="R244" s="150"/>
    </row>
    <row r="245" spans="1:18" s="1" customFormat="1" ht="31.5">
      <c r="A245" s="62"/>
      <c r="B245" s="13" t="s">
        <v>679</v>
      </c>
      <c r="C245" s="14">
        <f t="shared" si="134"/>
        <v>90447</v>
      </c>
      <c r="D245" s="15" t="s">
        <v>465</v>
      </c>
      <c r="E245" s="16" t="s">
        <v>298</v>
      </c>
      <c r="F245" s="17">
        <v>96.58</v>
      </c>
      <c r="G245" s="17">
        <f t="shared" si="135"/>
        <v>4.38</v>
      </c>
      <c r="H245" s="17">
        <f t="shared" si="136"/>
        <v>5.39</v>
      </c>
      <c r="I245" s="17">
        <f t="shared" si="137"/>
        <v>520.57000000000005</v>
      </c>
      <c r="J245" s="101">
        <f t="shared" si="138"/>
        <v>8.1486910312898969E-4</v>
      </c>
      <c r="K245" s="94" t="s">
        <v>192</v>
      </c>
      <c r="L245" s="187">
        <v>90447</v>
      </c>
      <c r="M245" s="150">
        <v>4.6100000000000003</v>
      </c>
      <c r="N245" s="154"/>
      <c r="O245" s="154"/>
      <c r="P245" s="154"/>
      <c r="Q245" s="150">
        <v>1488.1</v>
      </c>
      <c r="R245" s="150"/>
    </row>
    <row r="246" spans="1:18" s="1" customFormat="1" ht="47.25">
      <c r="A246" s="62"/>
      <c r="B246" s="13" t="s">
        <v>680</v>
      </c>
      <c r="C246" s="14">
        <f t="shared" si="134"/>
        <v>90466</v>
      </c>
      <c r="D246" s="15" t="s">
        <v>467</v>
      </c>
      <c r="E246" s="16" t="s">
        <v>298</v>
      </c>
      <c r="F246" s="17">
        <v>96.58</v>
      </c>
      <c r="G246" s="17">
        <f t="shared" si="135"/>
        <v>8.82</v>
      </c>
      <c r="H246" s="17">
        <f t="shared" si="136"/>
        <v>10.86</v>
      </c>
      <c r="I246" s="17">
        <f t="shared" si="137"/>
        <v>1048.8599999999999</v>
      </c>
      <c r="J246" s="101">
        <f t="shared" si="138"/>
        <v>1.641822631937822E-3</v>
      </c>
      <c r="K246" s="94" t="s">
        <v>192</v>
      </c>
      <c r="L246" s="187">
        <v>90466</v>
      </c>
      <c r="M246" s="150">
        <v>9.2799999999999994</v>
      </c>
      <c r="N246" s="154"/>
      <c r="O246" s="154"/>
      <c r="P246" s="154"/>
      <c r="Q246" s="150">
        <v>1488.1</v>
      </c>
      <c r="R246" s="150"/>
    </row>
    <row r="247" spans="1:18" s="1" customFormat="1" ht="47.25">
      <c r="A247" s="62"/>
      <c r="B247" s="13" t="s">
        <v>681</v>
      </c>
      <c r="C247" s="14">
        <f t="shared" si="134"/>
        <v>92000</v>
      </c>
      <c r="D247" s="15" t="s">
        <v>469</v>
      </c>
      <c r="E247" s="16" t="s">
        <v>297</v>
      </c>
      <c r="F247" s="17">
        <v>4</v>
      </c>
      <c r="G247" s="17">
        <f t="shared" si="135"/>
        <v>18.79</v>
      </c>
      <c r="H247" s="17">
        <f t="shared" si="136"/>
        <v>23.14</v>
      </c>
      <c r="I247" s="17">
        <f t="shared" si="137"/>
        <v>92.56</v>
      </c>
      <c r="J247" s="101">
        <f t="shared" si="138"/>
        <v>1.4488788094899684E-4</v>
      </c>
      <c r="K247" s="94" t="s">
        <v>192</v>
      </c>
      <c r="L247" s="187">
        <v>92000</v>
      </c>
      <c r="M247" s="150">
        <v>19.78</v>
      </c>
      <c r="N247" s="154"/>
      <c r="O247" s="154"/>
      <c r="P247" s="154"/>
      <c r="Q247" s="150">
        <v>36</v>
      </c>
      <c r="R247" s="150"/>
    </row>
    <row r="248" spans="1:18" s="1" customFormat="1" ht="47.25">
      <c r="A248" s="62"/>
      <c r="B248" s="13" t="s">
        <v>682</v>
      </c>
      <c r="C248" s="14">
        <f t="shared" si="134"/>
        <v>91992</v>
      </c>
      <c r="D248" s="15" t="s">
        <v>470</v>
      </c>
      <c r="E248" s="16" t="s">
        <v>297</v>
      </c>
      <c r="F248" s="17">
        <v>5</v>
      </c>
      <c r="G248" s="17">
        <f t="shared" si="135"/>
        <v>27.15</v>
      </c>
      <c r="H248" s="17">
        <f t="shared" si="136"/>
        <v>33.44</v>
      </c>
      <c r="I248" s="17">
        <f t="shared" si="137"/>
        <v>167.2</v>
      </c>
      <c r="J248" s="101">
        <f t="shared" si="138"/>
        <v>2.617248670556641E-4</v>
      </c>
      <c r="K248" s="94" t="s">
        <v>192</v>
      </c>
      <c r="L248" s="187">
        <v>91992</v>
      </c>
      <c r="M248" s="150">
        <v>28.58</v>
      </c>
      <c r="N248" s="154"/>
      <c r="O248" s="154"/>
      <c r="P248" s="154"/>
      <c r="Q248" s="150">
        <v>47</v>
      </c>
      <c r="R248" s="150"/>
    </row>
    <row r="249" spans="1:18" s="1" customFormat="1" ht="63">
      <c r="A249" s="62"/>
      <c r="B249" s="13" t="s">
        <v>683</v>
      </c>
      <c r="C249" s="14">
        <f t="shared" si="134"/>
        <v>101880</v>
      </c>
      <c r="D249" s="15" t="s">
        <v>471</v>
      </c>
      <c r="E249" s="16" t="s">
        <v>297</v>
      </c>
      <c r="F249" s="17">
        <v>1</v>
      </c>
      <c r="G249" s="17">
        <f t="shared" si="135"/>
        <v>457.12</v>
      </c>
      <c r="H249" s="17">
        <f t="shared" si="136"/>
        <v>562.94000000000005</v>
      </c>
      <c r="I249" s="17">
        <f t="shared" si="137"/>
        <v>562.94000000000005</v>
      </c>
      <c r="J249" s="101">
        <f t="shared" si="138"/>
        <v>8.8119256375786823E-4</v>
      </c>
      <c r="K249" s="188" t="s">
        <v>192</v>
      </c>
      <c r="L249" s="187">
        <v>101880</v>
      </c>
      <c r="M249" s="150">
        <v>481.18</v>
      </c>
      <c r="N249" s="154"/>
      <c r="O249" s="154"/>
      <c r="P249" s="154"/>
      <c r="Q249" s="150">
        <v>4</v>
      </c>
      <c r="R249" s="150"/>
    </row>
    <row r="250" spans="1:18" s="1" customFormat="1" ht="31.5">
      <c r="A250" s="62"/>
      <c r="B250" s="13" t="s">
        <v>684</v>
      </c>
      <c r="C250" s="14">
        <f t="shared" si="134"/>
        <v>90458</v>
      </c>
      <c r="D250" s="15" t="s">
        <v>472</v>
      </c>
      <c r="E250" s="16" t="s">
        <v>297</v>
      </c>
      <c r="F250" s="17">
        <v>1</v>
      </c>
      <c r="G250" s="17">
        <f t="shared" si="135"/>
        <v>18.27</v>
      </c>
      <c r="H250" s="17">
        <f t="shared" si="136"/>
        <v>22.5</v>
      </c>
      <c r="I250" s="17">
        <f t="shared" si="137"/>
        <v>22.5</v>
      </c>
      <c r="J250" s="101">
        <f t="shared" si="138"/>
        <v>3.5220152564308868E-5</v>
      </c>
      <c r="K250" s="188" t="s">
        <v>192</v>
      </c>
      <c r="L250" s="187">
        <v>90458</v>
      </c>
      <c r="M250" s="150">
        <v>19.23</v>
      </c>
      <c r="N250" s="154"/>
      <c r="O250" s="154"/>
      <c r="P250" s="154"/>
      <c r="Q250" s="150">
        <v>4</v>
      </c>
      <c r="R250" s="150"/>
    </row>
    <row r="251" spans="1:18" s="1" customFormat="1" ht="63">
      <c r="A251" s="62"/>
      <c r="B251" s="13" t="s">
        <v>685</v>
      </c>
      <c r="C251" s="14">
        <f t="shared" si="134"/>
        <v>97585</v>
      </c>
      <c r="D251" s="15" t="s">
        <v>473</v>
      </c>
      <c r="E251" s="16" t="s">
        <v>297</v>
      </c>
      <c r="F251" s="17">
        <v>22</v>
      </c>
      <c r="G251" s="17">
        <f t="shared" si="135"/>
        <v>63.74</v>
      </c>
      <c r="H251" s="17">
        <f t="shared" si="136"/>
        <v>78.5</v>
      </c>
      <c r="I251" s="17">
        <f t="shared" si="137"/>
        <v>1727</v>
      </c>
      <c r="J251" s="101">
        <f t="shared" si="138"/>
        <v>2.7033423768249515E-3</v>
      </c>
      <c r="K251" s="188" t="s">
        <v>192</v>
      </c>
      <c r="L251" s="187">
        <v>97585</v>
      </c>
      <c r="M251" s="150">
        <v>67.09</v>
      </c>
      <c r="N251" s="154"/>
      <c r="O251" s="154"/>
      <c r="P251" s="154"/>
      <c r="Q251" s="150">
        <v>262</v>
      </c>
      <c r="R251" s="150"/>
    </row>
    <row r="252" spans="1:18" s="1" customFormat="1" ht="47.25">
      <c r="A252" s="62"/>
      <c r="B252" s="13" t="s">
        <v>686</v>
      </c>
      <c r="C252" s="14">
        <f t="shared" si="134"/>
        <v>101666</v>
      </c>
      <c r="D252" s="15" t="s">
        <v>474</v>
      </c>
      <c r="E252" s="16" t="s">
        <v>297</v>
      </c>
      <c r="F252" s="17">
        <f t="shared" ref="F252:F263" si="139">ROUND(Q252*$Q$10+R252*$R$10,2)</f>
        <v>14</v>
      </c>
      <c r="G252" s="17">
        <f t="shared" si="135"/>
        <v>248.47</v>
      </c>
      <c r="H252" s="17">
        <f t="shared" si="136"/>
        <v>305.99</v>
      </c>
      <c r="I252" s="17">
        <f t="shared" si="137"/>
        <v>4283.8599999999997</v>
      </c>
      <c r="J252" s="101">
        <f t="shared" si="138"/>
        <v>6.7056979006284521E-3</v>
      </c>
      <c r="K252" s="188" t="s">
        <v>192</v>
      </c>
      <c r="L252" s="187">
        <v>101666</v>
      </c>
      <c r="M252" s="150">
        <v>261.55</v>
      </c>
      <c r="N252" s="154"/>
      <c r="O252" s="154"/>
      <c r="P252" s="154"/>
      <c r="Q252" s="150">
        <v>14</v>
      </c>
      <c r="R252" s="150"/>
    </row>
    <row r="253" spans="1:18" s="1" customFormat="1" ht="31.5">
      <c r="A253" s="62"/>
      <c r="B253" s="13" t="s">
        <v>687</v>
      </c>
      <c r="C253" s="14" t="str">
        <f t="shared" si="134"/>
        <v>ELE-EEN-030</v>
      </c>
      <c r="D253" s="15" t="s">
        <v>475</v>
      </c>
      <c r="E253" s="16" t="s">
        <v>297</v>
      </c>
      <c r="F253" s="17">
        <f t="shared" si="139"/>
        <v>1</v>
      </c>
      <c r="G253" s="17">
        <f t="shared" si="135"/>
        <v>1158.9000000000001</v>
      </c>
      <c r="H253" s="17">
        <f t="shared" si="136"/>
        <v>1427.19</v>
      </c>
      <c r="I253" s="17">
        <f t="shared" si="137"/>
        <v>1427.19</v>
      </c>
      <c r="J253" s="101">
        <f t="shared" si="138"/>
        <v>2.2340377572558209E-3</v>
      </c>
      <c r="K253" s="188" t="s">
        <v>192</v>
      </c>
      <c r="L253" s="187" t="s">
        <v>486</v>
      </c>
      <c r="M253" s="150">
        <v>1219.8900000000001</v>
      </c>
      <c r="N253" s="154"/>
      <c r="O253" s="154"/>
      <c r="P253" s="154"/>
      <c r="Q253" s="150">
        <v>1</v>
      </c>
      <c r="R253" s="150"/>
    </row>
    <row r="254" spans="1:18" s="1" customFormat="1" ht="31.5">
      <c r="A254" s="62"/>
      <c r="B254" s="13" t="s">
        <v>688</v>
      </c>
      <c r="C254" s="14" t="str">
        <f t="shared" si="134"/>
        <v>ELE-ENV-005</v>
      </c>
      <c r="D254" s="15" t="s">
        <v>476</v>
      </c>
      <c r="E254" s="16" t="s">
        <v>308</v>
      </c>
      <c r="F254" s="17">
        <f t="shared" si="139"/>
        <v>1</v>
      </c>
      <c r="G254" s="17">
        <f t="shared" si="135"/>
        <v>369.82</v>
      </c>
      <c r="H254" s="17">
        <f t="shared" si="136"/>
        <v>455.43</v>
      </c>
      <c r="I254" s="17">
        <f t="shared" si="137"/>
        <v>455.43</v>
      </c>
      <c r="J254" s="101">
        <f t="shared" si="138"/>
        <v>7.129028481050305E-4</v>
      </c>
      <c r="K254" s="188" t="s">
        <v>192</v>
      </c>
      <c r="L254" s="187" t="s">
        <v>487</v>
      </c>
      <c r="M254" s="150">
        <v>389.28</v>
      </c>
      <c r="N254" s="154"/>
      <c r="O254" s="154"/>
      <c r="P254" s="154"/>
      <c r="Q254" s="150">
        <v>1</v>
      </c>
      <c r="R254" s="150"/>
    </row>
    <row r="255" spans="1:18" s="1" customFormat="1" ht="31.5">
      <c r="A255" s="62"/>
      <c r="B255" s="13" t="s">
        <v>689</v>
      </c>
      <c r="C255" s="14">
        <f t="shared" si="134"/>
        <v>96985</v>
      </c>
      <c r="D255" s="15" t="s">
        <v>477</v>
      </c>
      <c r="E255" s="16" t="s">
        <v>297</v>
      </c>
      <c r="F255" s="17">
        <v>3</v>
      </c>
      <c r="G255" s="17">
        <f t="shared" si="135"/>
        <v>39.69</v>
      </c>
      <c r="H255" s="17">
        <f t="shared" si="136"/>
        <v>48.88</v>
      </c>
      <c r="I255" s="17">
        <f t="shared" si="137"/>
        <v>146.63999999999999</v>
      </c>
      <c r="J255" s="101">
        <f t="shared" si="138"/>
        <v>2.2954147431245562E-4</v>
      </c>
      <c r="K255" s="188" t="s">
        <v>192</v>
      </c>
      <c r="L255" s="187">
        <v>96985</v>
      </c>
      <c r="M255" s="150">
        <v>41.78</v>
      </c>
      <c r="N255" s="154"/>
      <c r="O255" s="154"/>
      <c r="P255" s="154"/>
      <c r="Q255" s="150">
        <v>19</v>
      </c>
      <c r="R255" s="150"/>
    </row>
    <row r="256" spans="1:18" s="1" customFormat="1" ht="31.5">
      <c r="A256" s="62"/>
      <c r="B256" s="13" t="s">
        <v>690</v>
      </c>
      <c r="C256" s="14">
        <f t="shared" si="134"/>
        <v>96977</v>
      </c>
      <c r="D256" s="15" t="s">
        <v>478</v>
      </c>
      <c r="E256" s="16" t="s">
        <v>298</v>
      </c>
      <c r="F256" s="17">
        <v>9.8000000000000007</v>
      </c>
      <c r="G256" s="17">
        <f t="shared" si="135"/>
        <v>35.82</v>
      </c>
      <c r="H256" s="17">
        <f t="shared" si="136"/>
        <v>44.11</v>
      </c>
      <c r="I256" s="17">
        <f t="shared" si="137"/>
        <v>432.28</v>
      </c>
      <c r="J256" s="101">
        <f t="shared" si="138"/>
        <v>6.7666522446664158E-4</v>
      </c>
      <c r="K256" s="188" t="s">
        <v>192</v>
      </c>
      <c r="L256" s="187">
        <v>96977</v>
      </c>
      <c r="M256" s="150">
        <v>37.700000000000003</v>
      </c>
      <c r="N256" s="154"/>
      <c r="O256" s="154"/>
      <c r="P256" s="154"/>
      <c r="Q256" s="150">
        <v>130</v>
      </c>
      <c r="R256" s="150"/>
    </row>
    <row r="257" spans="1:18" s="1" customFormat="1" ht="47.25">
      <c r="A257" s="62"/>
      <c r="B257" s="13" t="s">
        <v>691</v>
      </c>
      <c r="C257" s="14">
        <f t="shared" si="134"/>
        <v>91953</v>
      </c>
      <c r="D257" s="15" t="s">
        <v>479</v>
      </c>
      <c r="E257" s="16" t="s">
        <v>297</v>
      </c>
      <c r="F257" s="17">
        <v>10</v>
      </c>
      <c r="G257" s="17">
        <f t="shared" si="135"/>
        <v>17.77</v>
      </c>
      <c r="H257" s="17">
        <f t="shared" si="136"/>
        <v>21.88</v>
      </c>
      <c r="I257" s="17">
        <f t="shared" si="137"/>
        <v>218.8</v>
      </c>
      <c r="J257" s="101">
        <f t="shared" si="138"/>
        <v>3.4249641693647912E-4</v>
      </c>
      <c r="K257" s="188" t="s">
        <v>192</v>
      </c>
      <c r="L257" s="187">
        <v>91953</v>
      </c>
      <c r="M257" s="150">
        <v>18.7</v>
      </c>
      <c r="N257" s="154"/>
      <c r="O257" s="154"/>
      <c r="P257" s="154"/>
      <c r="Q257" s="150">
        <v>18</v>
      </c>
      <c r="R257" s="150"/>
    </row>
    <row r="258" spans="1:18" s="1" customFormat="1" ht="47.25">
      <c r="A258" s="62"/>
      <c r="B258" s="13" t="s">
        <v>692</v>
      </c>
      <c r="C258" s="14">
        <f t="shared" si="134"/>
        <v>91967</v>
      </c>
      <c r="D258" s="15" t="s">
        <v>480</v>
      </c>
      <c r="E258" s="16" t="s">
        <v>297</v>
      </c>
      <c r="F258" s="17">
        <v>1</v>
      </c>
      <c r="G258" s="17">
        <f t="shared" si="135"/>
        <v>38.479999999999997</v>
      </c>
      <c r="H258" s="17">
        <f t="shared" si="136"/>
        <v>47.39</v>
      </c>
      <c r="I258" s="17">
        <f t="shared" si="137"/>
        <v>47.39</v>
      </c>
      <c r="J258" s="101">
        <f t="shared" si="138"/>
        <v>7.4181468001004324E-5</v>
      </c>
      <c r="K258" s="188" t="s">
        <v>192</v>
      </c>
      <c r="L258" s="187">
        <v>91967</v>
      </c>
      <c r="M258" s="150">
        <v>40.51</v>
      </c>
      <c r="N258" s="154"/>
      <c r="O258" s="154"/>
      <c r="P258" s="154"/>
      <c r="Q258" s="150">
        <v>12</v>
      </c>
      <c r="R258" s="150"/>
    </row>
    <row r="259" spans="1:18" s="1" customFormat="1" ht="31.5">
      <c r="A259" s="62"/>
      <c r="B259" s="13" t="s">
        <v>693</v>
      </c>
      <c r="C259" s="14">
        <f t="shared" si="134"/>
        <v>93654</v>
      </c>
      <c r="D259" s="15" t="s">
        <v>481</v>
      </c>
      <c r="E259" s="16" t="s">
        <v>297</v>
      </c>
      <c r="F259" s="17">
        <v>1</v>
      </c>
      <c r="G259" s="17">
        <f t="shared" si="135"/>
        <v>13.32</v>
      </c>
      <c r="H259" s="17">
        <f t="shared" si="136"/>
        <v>16.399999999999999</v>
      </c>
      <c r="I259" s="17">
        <f t="shared" si="137"/>
        <v>16.399999999999999</v>
      </c>
      <c r="J259" s="101">
        <f t="shared" si="138"/>
        <v>2.5671577869096238E-5</v>
      </c>
      <c r="K259" s="188" t="s">
        <v>192</v>
      </c>
      <c r="L259" s="187">
        <v>93654</v>
      </c>
      <c r="M259" s="150">
        <v>14.02</v>
      </c>
      <c r="N259" s="154"/>
      <c r="O259" s="154"/>
      <c r="P259" s="154"/>
      <c r="Q259" s="150">
        <v>9</v>
      </c>
      <c r="R259" s="150"/>
    </row>
    <row r="260" spans="1:18" s="1" customFormat="1" ht="31.5">
      <c r="A260" s="62"/>
      <c r="B260" s="13" t="s">
        <v>694</v>
      </c>
      <c r="C260" s="14">
        <f t="shared" si="134"/>
        <v>93661</v>
      </c>
      <c r="D260" s="15" t="s">
        <v>482</v>
      </c>
      <c r="E260" s="16" t="s">
        <v>297</v>
      </c>
      <c r="F260" s="17">
        <v>6</v>
      </c>
      <c r="G260" s="17">
        <f t="shared" si="135"/>
        <v>68.099999999999994</v>
      </c>
      <c r="H260" s="17">
        <f t="shared" si="136"/>
        <v>83.87</v>
      </c>
      <c r="I260" s="17">
        <f t="shared" si="137"/>
        <v>503.22</v>
      </c>
      <c r="J260" s="101">
        <f t="shared" si="138"/>
        <v>7.8771045215162263E-4</v>
      </c>
      <c r="K260" s="188" t="s">
        <v>192</v>
      </c>
      <c r="L260" s="187">
        <v>93661</v>
      </c>
      <c r="M260" s="150">
        <v>71.680000000000007</v>
      </c>
      <c r="N260" s="154"/>
      <c r="O260" s="154"/>
      <c r="P260" s="154"/>
      <c r="Q260" s="150">
        <v>22</v>
      </c>
      <c r="R260" s="150"/>
    </row>
    <row r="261" spans="1:18" s="1" customFormat="1" ht="31.5">
      <c r="A261" s="62"/>
      <c r="B261" s="13" t="s">
        <v>695</v>
      </c>
      <c r="C261" s="14">
        <f t="shared" si="134"/>
        <v>93664</v>
      </c>
      <c r="D261" s="15" t="s">
        <v>483</v>
      </c>
      <c r="E261" s="16" t="s">
        <v>297</v>
      </c>
      <c r="F261" s="17">
        <v>5</v>
      </c>
      <c r="G261" s="17">
        <f t="shared" si="135"/>
        <v>71.680000000000007</v>
      </c>
      <c r="H261" s="17">
        <f t="shared" si="136"/>
        <v>88.27</v>
      </c>
      <c r="I261" s="17">
        <f t="shared" si="137"/>
        <v>441.35</v>
      </c>
      <c r="J261" s="101">
        <f t="shared" si="138"/>
        <v>6.90862859300343E-4</v>
      </c>
      <c r="K261" s="188" t="s">
        <v>192</v>
      </c>
      <c r="L261" s="187">
        <v>93664</v>
      </c>
      <c r="M261" s="150">
        <v>75.45</v>
      </c>
      <c r="N261" s="154"/>
      <c r="O261" s="154"/>
      <c r="P261" s="154"/>
      <c r="Q261" s="150">
        <v>2</v>
      </c>
      <c r="R261" s="150"/>
    </row>
    <row r="262" spans="1:18" s="1" customFormat="1">
      <c r="A262" s="62"/>
      <c r="B262" s="13" t="s">
        <v>696</v>
      </c>
      <c r="C262" s="14" t="str">
        <f t="shared" si="134"/>
        <v>ELE-DIS-048</v>
      </c>
      <c r="D262" s="15" t="s">
        <v>484</v>
      </c>
      <c r="E262" s="16" t="s">
        <v>297</v>
      </c>
      <c r="F262" s="17">
        <f t="shared" si="139"/>
        <v>2</v>
      </c>
      <c r="G262" s="17">
        <f t="shared" si="135"/>
        <v>253.89</v>
      </c>
      <c r="H262" s="17">
        <f t="shared" si="136"/>
        <v>312.67</v>
      </c>
      <c r="I262" s="17">
        <f t="shared" si="137"/>
        <v>625.34</v>
      </c>
      <c r="J262" s="101">
        <f t="shared" si="138"/>
        <v>9.7886978686955134E-4</v>
      </c>
      <c r="K262" s="188" t="s">
        <v>192</v>
      </c>
      <c r="L262" s="187" t="s">
        <v>488</v>
      </c>
      <c r="M262" s="150">
        <v>267.25</v>
      </c>
      <c r="N262" s="154"/>
      <c r="O262" s="154"/>
      <c r="P262" s="154"/>
      <c r="Q262" s="150">
        <v>2</v>
      </c>
      <c r="R262" s="150"/>
    </row>
    <row r="263" spans="1:18" s="1" customFormat="1" ht="31.5">
      <c r="A263" s="62"/>
      <c r="B263" s="13" t="s">
        <v>697</v>
      </c>
      <c r="C263" s="14" t="str">
        <f t="shared" si="134"/>
        <v>ELE-SUP-005</v>
      </c>
      <c r="D263" s="15" t="s">
        <v>485</v>
      </c>
      <c r="E263" s="16" t="s">
        <v>297</v>
      </c>
      <c r="F263" s="17">
        <f t="shared" si="139"/>
        <v>16</v>
      </c>
      <c r="G263" s="17">
        <f t="shared" si="135"/>
        <v>215.67</v>
      </c>
      <c r="H263" s="17">
        <f t="shared" si="136"/>
        <v>265.60000000000002</v>
      </c>
      <c r="I263" s="17">
        <f t="shared" si="137"/>
        <v>4249.6000000000004</v>
      </c>
      <c r="J263" s="101">
        <f t="shared" si="138"/>
        <v>6.6520693483238654E-3</v>
      </c>
      <c r="K263" s="188" t="s">
        <v>192</v>
      </c>
      <c r="L263" s="187" t="s">
        <v>240</v>
      </c>
      <c r="M263" s="150">
        <v>227.02</v>
      </c>
      <c r="N263" s="154"/>
      <c r="O263" s="154"/>
      <c r="P263" s="154"/>
      <c r="Q263" s="150">
        <v>16</v>
      </c>
      <c r="R263" s="150"/>
    </row>
    <row r="264" spans="1:18" s="1" customFormat="1">
      <c r="A264" s="62"/>
      <c r="B264" s="36"/>
      <c r="C264" s="37"/>
      <c r="D264" s="38" t="s">
        <v>99</v>
      </c>
      <c r="E264" s="37"/>
      <c r="F264" s="39"/>
      <c r="G264" s="40"/>
      <c r="H264" s="41"/>
      <c r="I264" s="18">
        <f>ROUND(SUM(I233:I263),2)</f>
        <v>28157.55</v>
      </c>
      <c r="J264" s="102">
        <f t="shared" si="138"/>
        <v>4.4076142526095784E-2</v>
      </c>
      <c r="K264" s="57"/>
      <c r="L264" s="94"/>
      <c r="M264" s="94"/>
      <c r="N264" s="154"/>
      <c r="O264" s="154"/>
      <c r="P264" s="154"/>
      <c r="Q264" s="150"/>
      <c r="R264" s="150"/>
    </row>
    <row r="265" spans="1:18" s="1" customFormat="1" ht="9.9499999999999993" customHeight="1">
      <c r="A265" s="62"/>
      <c r="B265" s="127"/>
      <c r="C265" s="128"/>
      <c r="D265" s="128"/>
      <c r="E265" s="128"/>
      <c r="F265" s="129"/>
      <c r="G265" s="129"/>
      <c r="H265" s="129"/>
      <c r="I265" s="129"/>
      <c r="J265" s="130"/>
      <c r="K265" s="189"/>
      <c r="L265" s="187"/>
      <c r="M265" s="94"/>
      <c r="N265" s="154"/>
      <c r="O265" s="154"/>
      <c r="P265" s="154"/>
      <c r="Q265" s="150"/>
      <c r="R265" s="150"/>
    </row>
    <row r="266" spans="1:18" s="95" customFormat="1">
      <c r="A266" s="61"/>
      <c r="B266" s="12" t="s">
        <v>131</v>
      </c>
      <c r="C266" s="22"/>
      <c r="D266" s="23" t="s">
        <v>101</v>
      </c>
      <c r="E266" s="19"/>
      <c r="F266" s="20"/>
      <c r="G266" s="21"/>
      <c r="H266" s="20"/>
      <c r="I266" s="21"/>
      <c r="J266" s="8"/>
      <c r="K266" s="190"/>
      <c r="L266" s="187"/>
      <c r="M266" s="94"/>
      <c r="N266" s="154"/>
      <c r="O266" s="154"/>
      <c r="P266" s="154"/>
      <c r="Q266" s="150"/>
      <c r="R266" s="150"/>
    </row>
    <row r="267" spans="1:18" s="95" customFormat="1" ht="31.5">
      <c r="A267" s="61"/>
      <c r="B267" s="13" t="s">
        <v>132</v>
      </c>
      <c r="C267" s="14" t="str">
        <f t="shared" ref="C267:C275" si="140">L267</f>
        <v>ED-50193
INC-EXT-016</v>
      </c>
      <c r="D267" s="15" t="s">
        <v>140</v>
      </c>
      <c r="E267" s="16" t="s">
        <v>297</v>
      </c>
      <c r="F267" s="17">
        <v>3</v>
      </c>
      <c r="G267" s="17">
        <f t="shared" ref="G267:G275" si="141">ROUND(M267*(1-$M$10),2)</f>
        <v>144.5</v>
      </c>
      <c r="H267" s="17">
        <f t="shared" ref="H267:H275" si="142">ROUND(G267*(IF(K267="O",(1+$F$10),(1+$F$19))),2)</f>
        <v>177.95</v>
      </c>
      <c r="I267" s="17">
        <f t="shared" ref="I267:I275" si="143">ROUND((F267*H267),2)</f>
        <v>533.85</v>
      </c>
      <c r="J267" s="101">
        <f t="shared" ref="J267:J276" si="144">I267/$I$284</f>
        <v>8.3565681984250166E-4</v>
      </c>
      <c r="K267" s="188" t="s">
        <v>192</v>
      </c>
      <c r="L267" s="187" t="s">
        <v>337</v>
      </c>
      <c r="M267" s="150">
        <v>152.1</v>
      </c>
      <c r="N267" s="154"/>
      <c r="O267" s="154"/>
      <c r="P267" s="154"/>
      <c r="Q267" s="150">
        <v>11</v>
      </c>
      <c r="R267" s="150">
        <v>4</v>
      </c>
    </row>
    <row r="268" spans="1:18" s="95" customFormat="1" ht="31.5">
      <c r="A268" s="61"/>
      <c r="B268" s="13" t="s">
        <v>698</v>
      </c>
      <c r="C268" s="14" t="str">
        <f t="shared" ref="C268:C273" si="145">L268</f>
        <v>ED-50196
INC-LUM-005</v>
      </c>
      <c r="D268" s="15" t="s">
        <v>707</v>
      </c>
      <c r="E268" s="16" t="s">
        <v>297</v>
      </c>
      <c r="F268" s="17">
        <v>6</v>
      </c>
      <c r="G268" s="17">
        <f t="shared" ref="G268:G273" si="146">ROUND(M268*(1-$M$10),2)</f>
        <v>64.61</v>
      </c>
      <c r="H268" s="17">
        <f t="shared" ref="H268:H273" si="147">ROUND(G268*(IF(K268="O",(1+$F$10),(1+$F$19))),2)</f>
        <v>79.569999999999993</v>
      </c>
      <c r="I268" s="17">
        <f t="shared" ref="I268:I273" si="148">ROUND((F268*H268),2)</f>
        <v>477.42</v>
      </c>
      <c r="J268" s="101">
        <f t="shared" si="144"/>
        <v>7.4732467721121511E-4</v>
      </c>
      <c r="K268" s="188" t="s">
        <v>192</v>
      </c>
      <c r="L268" s="187" t="s">
        <v>338</v>
      </c>
      <c r="M268" s="150">
        <v>68.010000000000005</v>
      </c>
      <c r="N268" s="154"/>
      <c r="O268" s="154"/>
      <c r="P268" s="154"/>
      <c r="Q268" s="150">
        <v>12</v>
      </c>
      <c r="R268" s="150">
        <v>4</v>
      </c>
    </row>
    <row r="269" spans="1:18" ht="31.5">
      <c r="B269" s="13" t="s">
        <v>699</v>
      </c>
      <c r="C269" s="14" t="str">
        <f t="shared" si="145"/>
        <v>ED-50206
INC-PLA-040</v>
      </c>
      <c r="D269" s="15" t="s">
        <v>706</v>
      </c>
      <c r="E269" s="16" t="s">
        <v>297</v>
      </c>
      <c r="F269" s="17">
        <v>1</v>
      </c>
      <c r="G269" s="17">
        <f t="shared" si="146"/>
        <v>27.46</v>
      </c>
      <c r="H269" s="17">
        <f t="shared" si="147"/>
        <v>33.82</v>
      </c>
      <c r="I269" s="17">
        <f t="shared" si="148"/>
        <v>33.82</v>
      </c>
      <c r="J269" s="101">
        <f t="shared" si="144"/>
        <v>5.2939802654441151E-5</v>
      </c>
      <c r="K269" s="188" t="s">
        <v>192</v>
      </c>
      <c r="L269" s="187" t="s">
        <v>339</v>
      </c>
      <c r="M269" s="150">
        <v>28.91</v>
      </c>
      <c r="Q269" s="150">
        <v>5</v>
      </c>
      <c r="R269" s="150"/>
    </row>
    <row r="270" spans="1:18" s="95" customFormat="1" ht="31.5">
      <c r="A270" s="61"/>
      <c r="B270" s="13" t="s">
        <v>700</v>
      </c>
      <c r="C270" s="14" t="str">
        <f t="shared" si="145"/>
        <v>ED-50199
INC-PLA-005</v>
      </c>
      <c r="D270" s="15" t="s">
        <v>708</v>
      </c>
      <c r="E270" s="16" t="s">
        <v>297</v>
      </c>
      <c r="F270" s="17">
        <v>3</v>
      </c>
      <c r="G270" s="17">
        <f t="shared" si="146"/>
        <v>15.16</v>
      </c>
      <c r="H270" s="17">
        <f t="shared" si="147"/>
        <v>18.670000000000002</v>
      </c>
      <c r="I270" s="17">
        <f t="shared" si="148"/>
        <v>56.01</v>
      </c>
      <c r="J270" s="101">
        <f t="shared" si="144"/>
        <v>8.7674699783419526E-5</v>
      </c>
      <c r="K270" s="188" t="s">
        <v>192</v>
      </c>
      <c r="L270" s="187" t="s">
        <v>340</v>
      </c>
      <c r="M270" s="150">
        <v>15.96</v>
      </c>
      <c r="N270" s="154"/>
      <c r="O270" s="154"/>
      <c r="P270" s="154"/>
      <c r="Q270" s="150">
        <v>11</v>
      </c>
      <c r="R270" s="150">
        <v>4</v>
      </c>
    </row>
    <row r="271" spans="1:18" s="95" customFormat="1" ht="31.5">
      <c r="A271" s="61"/>
      <c r="B271" s="13" t="s">
        <v>701</v>
      </c>
      <c r="C271" s="14" t="str">
        <f t="shared" si="145"/>
        <v>ED-50201
INC-PLA-015</v>
      </c>
      <c r="D271" s="15" t="s">
        <v>710</v>
      </c>
      <c r="E271" s="16" t="s">
        <v>297</v>
      </c>
      <c r="F271" s="17">
        <v>2</v>
      </c>
      <c r="G271" s="17">
        <f t="shared" si="146"/>
        <v>15.65</v>
      </c>
      <c r="H271" s="17">
        <f t="shared" si="147"/>
        <v>19.27</v>
      </c>
      <c r="I271" s="17">
        <f t="shared" si="148"/>
        <v>38.54</v>
      </c>
      <c r="J271" s="101">
        <f t="shared" si="144"/>
        <v>6.0328207992376159E-5</v>
      </c>
      <c r="K271" s="188" t="s">
        <v>192</v>
      </c>
      <c r="L271" s="187" t="s">
        <v>341</v>
      </c>
      <c r="M271" s="150">
        <v>16.47</v>
      </c>
      <c r="N271" s="154"/>
      <c r="O271" s="154"/>
      <c r="P271" s="154"/>
      <c r="Q271" s="150">
        <v>15</v>
      </c>
      <c r="R271" s="150">
        <v>4</v>
      </c>
    </row>
    <row r="272" spans="1:18" s="95" customFormat="1" ht="31.5">
      <c r="A272" s="61"/>
      <c r="B272" s="13" t="s">
        <v>702</v>
      </c>
      <c r="C272" s="14" t="str">
        <f t="shared" si="145"/>
        <v>ED-50202
INC-PLA-020</v>
      </c>
      <c r="D272" s="15" t="s">
        <v>709</v>
      </c>
      <c r="E272" s="16" t="s">
        <v>297</v>
      </c>
      <c r="F272" s="17">
        <v>2</v>
      </c>
      <c r="G272" s="17">
        <f t="shared" si="146"/>
        <v>15.65</v>
      </c>
      <c r="H272" s="17">
        <f t="shared" si="147"/>
        <v>19.27</v>
      </c>
      <c r="I272" s="17">
        <f t="shared" si="148"/>
        <v>38.54</v>
      </c>
      <c r="J272" s="101">
        <f t="shared" si="144"/>
        <v>6.0328207992376159E-5</v>
      </c>
      <c r="K272" s="188" t="s">
        <v>192</v>
      </c>
      <c r="L272" s="187" t="s">
        <v>342</v>
      </c>
      <c r="M272" s="150">
        <v>16.47</v>
      </c>
      <c r="N272" s="193"/>
      <c r="O272" s="193"/>
      <c r="P272" s="193"/>
      <c r="Q272" s="150">
        <v>10</v>
      </c>
      <c r="R272" s="150">
        <v>4</v>
      </c>
    </row>
    <row r="273" spans="1:18" s="95" customFormat="1" ht="31.5">
      <c r="A273" s="61"/>
      <c r="B273" s="13" t="s">
        <v>703</v>
      </c>
      <c r="C273" s="14" t="str">
        <f t="shared" si="145"/>
        <v>ED-50205
INC-PLA-035</v>
      </c>
      <c r="D273" s="15" t="s">
        <v>490</v>
      </c>
      <c r="E273" s="16" t="s">
        <v>297</v>
      </c>
      <c r="F273" s="17">
        <v>1</v>
      </c>
      <c r="G273" s="17">
        <f t="shared" si="146"/>
        <v>15.65</v>
      </c>
      <c r="H273" s="17">
        <f t="shared" si="147"/>
        <v>19.27</v>
      </c>
      <c r="I273" s="17">
        <f t="shared" si="148"/>
        <v>19.27</v>
      </c>
      <c r="J273" s="101">
        <f t="shared" si="144"/>
        <v>3.016410399618808E-5</v>
      </c>
      <c r="K273" s="188" t="s">
        <v>192</v>
      </c>
      <c r="L273" s="187" t="s">
        <v>343</v>
      </c>
      <c r="M273" s="150">
        <v>16.47</v>
      </c>
      <c r="N273" s="154"/>
      <c r="O273" s="154"/>
      <c r="P273" s="154"/>
      <c r="Q273" s="150">
        <v>5</v>
      </c>
      <c r="R273" s="150">
        <v>2</v>
      </c>
    </row>
    <row r="274" spans="1:18">
      <c r="B274" s="13" t="s">
        <v>704</v>
      </c>
      <c r="C274" s="14" t="str">
        <f t="shared" si="140"/>
        <v>COTAÇÃO</v>
      </c>
      <c r="D274" s="15" t="s">
        <v>336</v>
      </c>
      <c r="E274" s="16" t="s">
        <v>297</v>
      </c>
      <c r="F274" s="17">
        <f t="shared" ref="F274:F275" si="149">ROUND(Q274*$Q$10+R274*$R$10,2)</f>
        <v>1</v>
      </c>
      <c r="G274" s="17">
        <f t="shared" si="141"/>
        <v>27.46</v>
      </c>
      <c r="H274" s="17">
        <f t="shared" si="142"/>
        <v>33.82</v>
      </c>
      <c r="I274" s="17">
        <f t="shared" si="143"/>
        <v>33.82</v>
      </c>
      <c r="J274" s="101">
        <f t="shared" si="144"/>
        <v>5.2939802654441151E-5</v>
      </c>
      <c r="K274" s="188" t="s">
        <v>192</v>
      </c>
      <c r="L274" s="187" t="s">
        <v>62</v>
      </c>
      <c r="M274" s="150">
        <v>28.91</v>
      </c>
      <c r="Q274" s="150">
        <v>1</v>
      </c>
      <c r="R274" s="150"/>
    </row>
    <row r="275" spans="1:18">
      <c r="B275" s="13" t="s">
        <v>705</v>
      </c>
      <c r="C275" s="14" t="str">
        <f t="shared" si="140"/>
        <v>COTAÇÃO</v>
      </c>
      <c r="D275" s="15" t="s">
        <v>335</v>
      </c>
      <c r="E275" s="16" t="s">
        <v>297</v>
      </c>
      <c r="F275" s="17">
        <f t="shared" si="149"/>
        <v>1</v>
      </c>
      <c r="G275" s="17">
        <f t="shared" si="141"/>
        <v>27.46</v>
      </c>
      <c r="H275" s="17">
        <f t="shared" si="142"/>
        <v>33.82</v>
      </c>
      <c r="I275" s="17">
        <f t="shared" si="143"/>
        <v>33.82</v>
      </c>
      <c r="J275" s="101">
        <f t="shared" si="144"/>
        <v>5.2939802654441151E-5</v>
      </c>
      <c r="K275" s="188" t="s">
        <v>192</v>
      </c>
      <c r="L275" s="187" t="s">
        <v>62</v>
      </c>
      <c r="M275" s="150">
        <v>28.91</v>
      </c>
      <c r="Q275" s="150">
        <v>1</v>
      </c>
      <c r="R275" s="150"/>
    </row>
    <row r="276" spans="1:18" s="95" customFormat="1">
      <c r="A276" s="61"/>
      <c r="B276" s="42"/>
      <c r="C276" s="37"/>
      <c r="D276" s="38" t="s">
        <v>103</v>
      </c>
      <c r="E276" s="37"/>
      <c r="F276" s="39"/>
      <c r="G276" s="40"/>
      <c r="H276" s="41"/>
      <c r="I276" s="18">
        <f>ROUND(SUM(I267:I275),2)</f>
        <v>1265.0899999999999</v>
      </c>
      <c r="J276" s="102">
        <f t="shared" si="144"/>
        <v>1.9802961247813999E-3</v>
      </c>
      <c r="K276" s="57"/>
      <c r="L276" s="187"/>
      <c r="M276" s="94"/>
      <c r="N276" s="154"/>
      <c r="O276" s="154"/>
      <c r="P276" s="154"/>
      <c r="Q276" s="150"/>
      <c r="R276" s="150"/>
    </row>
    <row r="277" spans="1:18" s="95" customFormat="1" ht="9.9499999999999993" customHeight="1">
      <c r="A277" s="61"/>
      <c r="B277" s="127"/>
      <c r="C277" s="128"/>
      <c r="D277" s="128"/>
      <c r="E277" s="128"/>
      <c r="F277" s="129"/>
      <c r="G277" s="129"/>
      <c r="H277" s="129"/>
      <c r="I277" s="129"/>
      <c r="J277" s="130"/>
      <c r="K277" s="189"/>
      <c r="L277" s="187"/>
      <c r="M277" s="94"/>
      <c r="N277" s="154"/>
      <c r="O277" s="154"/>
      <c r="P277" s="154"/>
      <c r="Q277" s="150"/>
      <c r="R277" s="150"/>
    </row>
    <row r="278" spans="1:18" s="95" customFormat="1">
      <c r="A278" s="61"/>
      <c r="B278" s="12" t="s">
        <v>189</v>
      </c>
      <c r="C278" s="22"/>
      <c r="D278" s="23" t="s">
        <v>102</v>
      </c>
      <c r="E278" s="19"/>
      <c r="F278" s="20"/>
      <c r="G278" s="21"/>
      <c r="H278" s="20"/>
      <c r="I278" s="21"/>
      <c r="J278" s="8"/>
      <c r="K278" s="190"/>
      <c r="L278" s="187"/>
      <c r="M278" s="94"/>
      <c r="N278" s="154"/>
      <c r="O278" s="154"/>
      <c r="P278" s="154"/>
      <c r="Q278" s="150"/>
      <c r="R278" s="150"/>
    </row>
    <row r="279" spans="1:18" s="95" customFormat="1" ht="31.5">
      <c r="A279" s="61"/>
      <c r="B279" s="13" t="s">
        <v>137</v>
      </c>
      <c r="C279" s="14" t="str">
        <f>L279</f>
        <v>ED-48439
DEM-CER-005</v>
      </c>
      <c r="D279" s="15" t="s">
        <v>321</v>
      </c>
      <c r="E279" s="16" t="s">
        <v>296</v>
      </c>
      <c r="F279" s="17">
        <v>220.92</v>
      </c>
      <c r="G279" s="17">
        <f t="shared" ref="G279" si="150">ROUND(M279*(1-$M$10),2)</f>
        <v>11.45</v>
      </c>
      <c r="H279" s="17">
        <f t="shared" ref="H279" si="151">ROUND(G279*(IF(K279="O",(1+$F$10),(1+$F$19))),2)</f>
        <v>14.1</v>
      </c>
      <c r="I279" s="17">
        <f t="shared" ref="I279" si="152">ROUND((F279*H279),2)</f>
        <v>3114.97</v>
      </c>
      <c r="J279" s="101">
        <f>I279/$I$284</f>
        <v>4.8759874948108971E-3</v>
      </c>
      <c r="K279" s="188" t="s">
        <v>192</v>
      </c>
      <c r="L279" s="187" t="s">
        <v>320</v>
      </c>
      <c r="M279" s="150">
        <v>12.05</v>
      </c>
      <c r="N279" s="193"/>
      <c r="O279" s="193"/>
      <c r="P279" s="193"/>
      <c r="Q279" s="150">
        <f>Q34*1.7</f>
        <v>503.2</v>
      </c>
      <c r="R279" s="150">
        <f>R34*1.7</f>
        <v>0</v>
      </c>
    </row>
    <row r="280" spans="1:18" s="95" customFormat="1" ht="31.5">
      <c r="A280" s="61"/>
      <c r="B280" s="13" t="s">
        <v>138</v>
      </c>
      <c r="C280" s="14" t="str">
        <f>L280</f>
        <v>ED-50266
LIM-GER-005</v>
      </c>
      <c r="D280" s="15" t="s">
        <v>323</v>
      </c>
      <c r="E280" s="16" t="s">
        <v>296</v>
      </c>
      <c r="F280" s="17">
        <v>220.92</v>
      </c>
      <c r="G280" s="17">
        <f t="shared" ref="G280" si="153">ROUND(M280*(1-$M$10),2)</f>
        <v>4.32</v>
      </c>
      <c r="H280" s="17">
        <f t="shared" ref="H280" si="154">ROUND(G280*(IF(K280="O",(1+$F$10),(1+$F$19))),2)</f>
        <v>5.32</v>
      </c>
      <c r="I280" s="17">
        <f t="shared" ref="I280" si="155">ROUND((F280*H280),2)</f>
        <v>1175.29</v>
      </c>
      <c r="J280" s="101">
        <f>I280/$I$284</f>
        <v>1.8397285825469585E-3</v>
      </c>
      <c r="K280" s="188" t="s">
        <v>192</v>
      </c>
      <c r="L280" s="187" t="s">
        <v>322</v>
      </c>
      <c r="M280" s="150">
        <v>4.55</v>
      </c>
      <c r="N280" s="193"/>
      <c r="O280" s="193"/>
      <c r="P280" s="193"/>
      <c r="Q280" s="150">
        <v>1345</v>
      </c>
      <c r="R280" s="150">
        <v>704</v>
      </c>
    </row>
    <row r="281" spans="1:18" s="95" customFormat="1">
      <c r="A281" s="61"/>
      <c r="B281" s="36"/>
      <c r="C281" s="37"/>
      <c r="D281" s="38" t="s">
        <v>139</v>
      </c>
      <c r="E281" s="37"/>
      <c r="F281" s="39"/>
      <c r="G281" s="40"/>
      <c r="H281" s="41"/>
      <c r="I281" s="18">
        <f>ROUND(SUM(I279:I280),2)</f>
        <v>4290.26</v>
      </c>
      <c r="J281" s="102">
        <f>I281/$I$284</f>
        <v>6.7157160773578563E-3</v>
      </c>
      <c r="K281" s="57"/>
      <c r="L281" s="187"/>
      <c r="M281" s="94"/>
      <c r="N281" s="154"/>
      <c r="O281" s="154"/>
      <c r="P281" s="154"/>
      <c r="Q281" s="150"/>
      <c r="R281" s="150"/>
    </row>
    <row r="282" spans="1:18" s="95" customFormat="1" ht="9.9499999999999993" customHeight="1">
      <c r="A282" s="120"/>
      <c r="B282" s="121"/>
      <c r="C282" s="122"/>
      <c r="D282" s="123"/>
      <c r="E282" s="122"/>
      <c r="F282" s="124"/>
      <c r="G282" s="125"/>
      <c r="H282" s="126"/>
      <c r="I282" s="144"/>
      <c r="J282" s="103"/>
      <c r="K282" s="57"/>
      <c r="L282" s="93"/>
      <c r="M282" s="94"/>
      <c r="N282" s="154"/>
      <c r="O282" s="154"/>
      <c r="P282" s="154"/>
    </row>
    <row r="283" spans="1:18" s="95" customFormat="1" ht="9.9499999999999993" customHeight="1">
      <c r="A283" s="61"/>
      <c r="B283" s="131"/>
      <c r="C283" s="132"/>
      <c r="D283" s="133"/>
      <c r="E283" s="132"/>
      <c r="F283" s="134"/>
      <c r="G283" s="136"/>
      <c r="H283" s="138"/>
      <c r="I283" s="136"/>
      <c r="J283" s="137"/>
      <c r="K283" s="57"/>
      <c r="L283" s="93"/>
      <c r="M283" s="94"/>
      <c r="N283" s="154"/>
      <c r="O283" s="154"/>
      <c r="P283" s="154"/>
    </row>
    <row r="284" spans="1:18" s="95" customFormat="1">
      <c r="A284" s="61"/>
      <c r="B284" s="52"/>
      <c r="C284" s="53"/>
      <c r="D284" s="53" t="s">
        <v>133</v>
      </c>
      <c r="E284" s="53"/>
      <c r="F284" s="54"/>
      <c r="G284" s="54"/>
      <c r="H284" s="55"/>
      <c r="I284" s="56">
        <f>ROUND(I281+I276+I264+I230+I138+I126+I111+I102+I92+I79+I68+I60+I49+I36,2)</f>
        <v>638838.80000000005</v>
      </c>
      <c r="J284" s="153" t="e">
        <f>ROUND(J281+J276+J264+J230+J138+J126+J111+J102+J92+J79+J68+J60+J49+#REF!+J36,2)</f>
        <v>#REF!</v>
      </c>
      <c r="K284" s="57"/>
      <c r="L284" s="93"/>
      <c r="M284" s="94"/>
      <c r="N284" s="154"/>
      <c r="O284" s="154"/>
      <c r="P284" s="154"/>
    </row>
    <row r="285" spans="1:18">
      <c r="I285" s="7" t="e">
        <f>I284/#REF!</f>
        <v>#REF!</v>
      </c>
    </row>
    <row r="286" spans="1:18" hidden="1"/>
    <row r="287" spans="1:18" hidden="1"/>
    <row r="289" spans="9:9">
      <c r="I289" s="7">
        <v>3151336.11</v>
      </c>
    </row>
  </sheetData>
  <mergeCells count="29">
    <mergeCell ref="N26:P26"/>
    <mergeCell ref="L25:M25"/>
    <mergeCell ref="B10:C10"/>
    <mergeCell ref="F10:J10"/>
    <mergeCell ref="B11:C11"/>
    <mergeCell ref="F11:J13"/>
    <mergeCell ref="B12:C12"/>
    <mergeCell ref="B13:C13"/>
    <mergeCell ref="B16:C16"/>
    <mergeCell ref="B20:C20"/>
    <mergeCell ref="F20:J21"/>
    <mergeCell ref="B21:C21"/>
    <mergeCell ref="B14:C14"/>
    <mergeCell ref="F14:J16"/>
    <mergeCell ref="B22:C22"/>
    <mergeCell ref="G3:J7"/>
    <mergeCell ref="B1:J1"/>
    <mergeCell ref="B4:F4"/>
    <mergeCell ref="B5:F5"/>
    <mergeCell ref="B7:F7"/>
    <mergeCell ref="B6:F6"/>
    <mergeCell ref="Q24:R25"/>
    <mergeCell ref="F22:J24"/>
    <mergeCell ref="B23:C23"/>
    <mergeCell ref="B24:C24"/>
    <mergeCell ref="B15:C15"/>
    <mergeCell ref="F19:J19"/>
    <mergeCell ref="B19:C19"/>
    <mergeCell ref="B18:J18"/>
  </mergeCells>
  <printOptions horizontalCentered="1"/>
  <pageMargins left="0.78740157480314965" right="0.39370078740157483" top="0.39370078740157483" bottom="0.39370078740157483" header="0.31496062992125984" footer="0.11811023622047245"/>
  <pageSetup paperSize="9" scale="45" orientation="portrait" r:id="rId1"/>
  <headerFooter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48"/>
  <sheetViews>
    <sheetView tabSelected="1" view="pageBreakPreview" zoomScale="80" zoomScaleSheetLayoutView="80" workbookViewId="0">
      <selection activeCell="I24" sqref="I24"/>
    </sheetView>
  </sheetViews>
  <sheetFormatPr defaultRowHeight="15"/>
  <cols>
    <col min="1" max="1" width="10.83203125" style="91" customWidth="1"/>
    <col min="2" max="2" width="55.83203125" style="67" customWidth="1"/>
    <col min="3" max="3" width="15.83203125" style="67" customWidth="1"/>
    <col min="4" max="4" width="30.83203125" style="67" customWidth="1"/>
    <col min="5" max="5" width="15.83203125" style="67" customWidth="1"/>
    <col min="6" max="6" width="30.83203125" style="67" customWidth="1"/>
    <col min="7" max="7" width="15.83203125" style="67" customWidth="1"/>
    <col min="8" max="8" width="30.83203125" style="67" customWidth="1"/>
    <col min="9" max="9" width="15.83203125" style="67" customWidth="1"/>
    <col min="10" max="10" width="30.83203125" style="67" customWidth="1"/>
    <col min="11" max="11" width="16.83203125" style="67" customWidth="1"/>
    <col min="12" max="12" width="15.6640625" style="67" bestFit="1" customWidth="1"/>
    <col min="13" max="248" width="9.33203125" style="67"/>
    <col min="249" max="249" width="12.1640625" style="67" customWidth="1"/>
    <col min="250" max="250" width="84.83203125" style="67" customWidth="1"/>
    <col min="251" max="251" width="12.6640625" style="67" customWidth="1"/>
    <col min="252" max="252" width="19" style="67" customWidth="1"/>
    <col min="253" max="253" width="17.5" style="67" customWidth="1"/>
    <col min="254" max="254" width="22.6640625" style="67" customWidth="1"/>
    <col min="255" max="255" width="12.6640625" style="67" customWidth="1"/>
    <col min="256" max="256" width="22.6640625" style="67" customWidth="1"/>
    <col min="257" max="257" width="12.1640625" style="67" customWidth="1"/>
    <col min="258" max="258" width="24.1640625" style="67" customWidth="1"/>
    <col min="259" max="259" width="12.1640625" style="67" customWidth="1"/>
    <col min="260" max="260" width="25.1640625" style="67" customWidth="1"/>
    <col min="261" max="261" width="12.6640625" style="67" customWidth="1"/>
    <col min="262" max="262" width="24.1640625" style="67" customWidth="1"/>
    <col min="263" max="263" width="13.1640625" style="67" customWidth="1"/>
    <col min="264" max="264" width="16.83203125" style="67" customWidth="1"/>
    <col min="265" max="504" width="9.33203125" style="67"/>
    <col min="505" max="505" width="12.1640625" style="67" customWidth="1"/>
    <col min="506" max="506" width="84.83203125" style="67" customWidth="1"/>
    <col min="507" max="507" width="12.6640625" style="67" customWidth="1"/>
    <col min="508" max="508" width="19" style="67" customWidth="1"/>
    <col min="509" max="509" width="17.5" style="67" customWidth="1"/>
    <col min="510" max="510" width="22.6640625" style="67" customWidth="1"/>
    <col min="511" max="511" width="12.6640625" style="67" customWidth="1"/>
    <col min="512" max="512" width="22.6640625" style="67" customWidth="1"/>
    <col min="513" max="513" width="12.1640625" style="67" customWidth="1"/>
    <col min="514" max="514" width="24.1640625" style="67" customWidth="1"/>
    <col min="515" max="515" width="12.1640625" style="67" customWidth="1"/>
    <col min="516" max="516" width="25.1640625" style="67" customWidth="1"/>
    <col min="517" max="517" width="12.6640625" style="67" customWidth="1"/>
    <col min="518" max="518" width="24.1640625" style="67" customWidth="1"/>
    <col min="519" max="519" width="13.1640625" style="67" customWidth="1"/>
    <col min="520" max="520" width="16.83203125" style="67" customWidth="1"/>
    <col min="521" max="760" width="9.33203125" style="67"/>
    <col min="761" max="761" width="12.1640625" style="67" customWidth="1"/>
    <col min="762" max="762" width="84.83203125" style="67" customWidth="1"/>
    <col min="763" max="763" width="12.6640625" style="67" customWidth="1"/>
    <col min="764" max="764" width="19" style="67" customWidth="1"/>
    <col min="765" max="765" width="17.5" style="67" customWidth="1"/>
    <col min="766" max="766" width="22.6640625" style="67" customWidth="1"/>
    <col min="767" max="767" width="12.6640625" style="67" customWidth="1"/>
    <col min="768" max="768" width="22.6640625" style="67" customWidth="1"/>
    <col min="769" max="769" width="12.1640625" style="67" customWidth="1"/>
    <col min="770" max="770" width="24.1640625" style="67" customWidth="1"/>
    <col min="771" max="771" width="12.1640625" style="67" customWidth="1"/>
    <col min="772" max="772" width="25.1640625" style="67" customWidth="1"/>
    <col min="773" max="773" width="12.6640625" style="67" customWidth="1"/>
    <col min="774" max="774" width="24.1640625" style="67" customWidth="1"/>
    <col min="775" max="775" width="13.1640625" style="67" customWidth="1"/>
    <col min="776" max="776" width="16.83203125" style="67" customWidth="1"/>
    <col min="777" max="1016" width="9.33203125" style="67"/>
    <col min="1017" max="1017" width="12.1640625" style="67" customWidth="1"/>
    <col min="1018" max="1018" width="84.83203125" style="67" customWidth="1"/>
    <col min="1019" max="1019" width="12.6640625" style="67" customWidth="1"/>
    <col min="1020" max="1020" width="19" style="67" customWidth="1"/>
    <col min="1021" max="1021" width="17.5" style="67" customWidth="1"/>
    <col min="1022" max="1022" width="22.6640625" style="67" customWidth="1"/>
    <col min="1023" max="1023" width="12.6640625" style="67" customWidth="1"/>
    <col min="1024" max="1024" width="22.6640625" style="67" customWidth="1"/>
    <col min="1025" max="1025" width="12.1640625" style="67" customWidth="1"/>
    <col min="1026" max="1026" width="24.1640625" style="67" customWidth="1"/>
    <col min="1027" max="1027" width="12.1640625" style="67" customWidth="1"/>
    <col min="1028" max="1028" width="25.1640625" style="67" customWidth="1"/>
    <col min="1029" max="1029" width="12.6640625" style="67" customWidth="1"/>
    <col min="1030" max="1030" width="24.1640625" style="67" customWidth="1"/>
    <col min="1031" max="1031" width="13.1640625" style="67" customWidth="1"/>
    <col min="1032" max="1032" width="16.83203125" style="67" customWidth="1"/>
    <col min="1033" max="1272" width="9.33203125" style="67"/>
    <col min="1273" max="1273" width="12.1640625" style="67" customWidth="1"/>
    <col min="1274" max="1274" width="84.83203125" style="67" customWidth="1"/>
    <col min="1275" max="1275" width="12.6640625" style="67" customWidth="1"/>
    <col min="1276" max="1276" width="19" style="67" customWidth="1"/>
    <col min="1277" max="1277" width="17.5" style="67" customWidth="1"/>
    <col min="1278" max="1278" width="22.6640625" style="67" customWidth="1"/>
    <col min="1279" max="1279" width="12.6640625" style="67" customWidth="1"/>
    <col min="1280" max="1280" width="22.6640625" style="67" customWidth="1"/>
    <col min="1281" max="1281" width="12.1640625" style="67" customWidth="1"/>
    <col min="1282" max="1282" width="24.1640625" style="67" customWidth="1"/>
    <col min="1283" max="1283" width="12.1640625" style="67" customWidth="1"/>
    <col min="1284" max="1284" width="25.1640625" style="67" customWidth="1"/>
    <col min="1285" max="1285" width="12.6640625" style="67" customWidth="1"/>
    <col min="1286" max="1286" width="24.1640625" style="67" customWidth="1"/>
    <col min="1287" max="1287" width="13.1640625" style="67" customWidth="1"/>
    <col min="1288" max="1288" width="16.83203125" style="67" customWidth="1"/>
    <col min="1289" max="1528" width="9.33203125" style="67"/>
    <col min="1529" max="1529" width="12.1640625" style="67" customWidth="1"/>
    <col min="1530" max="1530" width="84.83203125" style="67" customWidth="1"/>
    <col min="1531" max="1531" width="12.6640625" style="67" customWidth="1"/>
    <col min="1532" max="1532" width="19" style="67" customWidth="1"/>
    <col min="1533" max="1533" width="17.5" style="67" customWidth="1"/>
    <col min="1534" max="1534" width="22.6640625" style="67" customWidth="1"/>
    <col min="1535" max="1535" width="12.6640625" style="67" customWidth="1"/>
    <col min="1536" max="1536" width="22.6640625" style="67" customWidth="1"/>
    <col min="1537" max="1537" width="12.1640625" style="67" customWidth="1"/>
    <col min="1538" max="1538" width="24.1640625" style="67" customWidth="1"/>
    <col min="1539" max="1539" width="12.1640625" style="67" customWidth="1"/>
    <col min="1540" max="1540" width="25.1640625" style="67" customWidth="1"/>
    <col min="1541" max="1541" width="12.6640625" style="67" customWidth="1"/>
    <col min="1542" max="1542" width="24.1640625" style="67" customWidth="1"/>
    <col min="1543" max="1543" width="13.1640625" style="67" customWidth="1"/>
    <col min="1544" max="1544" width="16.83203125" style="67" customWidth="1"/>
    <col min="1545" max="1784" width="9.33203125" style="67"/>
    <col min="1785" max="1785" width="12.1640625" style="67" customWidth="1"/>
    <col min="1786" max="1786" width="84.83203125" style="67" customWidth="1"/>
    <col min="1787" max="1787" width="12.6640625" style="67" customWidth="1"/>
    <col min="1788" max="1788" width="19" style="67" customWidth="1"/>
    <col min="1789" max="1789" width="17.5" style="67" customWidth="1"/>
    <col min="1790" max="1790" width="22.6640625" style="67" customWidth="1"/>
    <col min="1791" max="1791" width="12.6640625" style="67" customWidth="1"/>
    <col min="1792" max="1792" width="22.6640625" style="67" customWidth="1"/>
    <col min="1793" max="1793" width="12.1640625" style="67" customWidth="1"/>
    <col min="1794" max="1794" width="24.1640625" style="67" customWidth="1"/>
    <col min="1795" max="1795" width="12.1640625" style="67" customWidth="1"/>
    <col min="1796" max="1796" width="25.1640625" style="67" customWidth="1"/>
    <col min="1797" max="1797" width="12.6640625" style="67" customWidth="1"/>
    <col min="1798" max="1798" width="24.1640625" style="67" customWidth="1"/>
    <col min="1799" max="1799" width="13.1640625" style="67" customWidth="1"/>
    <col min="1800" max="1800" width="16.83203125" style="67" customWidth="1"/>
    <col min="1801" max="2040" width="9.33203125" style="67"/>
    <col min="2041" max="2041" width="12.1640625" style="67" customWidth="1"/>
    <col min="2042" max="2042" width="84.83203125" style="67" customWidth="1"/>
    <col min="2043" max="2043" width="12.6640625" style="67" customWidth="1"/>
    <col min="2044" max="2044" width="19" style="67" customWidth="1"/>
    <col min="2045" max="2045" width="17.5" style="67" customWidth="1"/>
    <col min="2046" max="2046" width="22.6640625" style="67" customWidth="1"/>
    <col min="2047" max="2047" width="12.6640625" style="67" customWidth="1"/>
    <col min="2048" max="2048" width="22.6640625" style="67" customWidth="1"/>
    <col min="2049" max="2049" width="12.1640625" style="67" customWidth="1"/>
    <col min="2050" max="2050" width="24.1640625" style="67" customWidth="1"/>
    <col min="2051" max="2051" width="12.1640625" style="67" customWidth="1"/>
    <col min="2052" max="2052" width="25.1640625" style="67" customWidth="1"/>
    <col min="2053" max="2053" width="12.6640625" style="67" customWidth="1"/>
    <col min="2054" max="2054" width="24.1640625" style="67" customWidth="1"/>
    <col min="2055" max="2055" width="13.1640625" style="67" customWidth="1"/>
    <col min="2056" max="2056" width="16.83203125" style="67" customWidth="1"/>
    <col min="2057" max="2296" width="9.33203125" style="67"/>
    <col min="2297" max="2297" width="12.1640625" style="67" customWidth="1"/>
    <col min="2298" max="2298" width="84.83203125" style="67" customWidth="1"/>
    <col min="2299" max="2299" width="12.6640625" style="67" customWidth="1"/>
    <col min="2300" max="2300" width="19" style="67" customWidth="1"/>
    <col min="2301" max="2301" width="17.5" style="67" customWidth="1"/>
    <col min="2302" max="2302" width="22.6640625" style="67" customWidth="1"/>
    <col min="2303" max="2303" width="12.6640625" style="67" customWidth="1"/>
    <col min="2304" max="2304" width="22.6640625" style="67" customWidth="1"/>
    <col min="2305" max="2305" width="12.1640625" style="67" customWidth="1"/>
    <col min="2306" max="2306" width="24.1640625" style="67" customWidth="1"/>
    <col min="2307" max="2307" width="12.1640625" style="67" customWidth="1"/>
    <col min="2308" max="2308" width="25.1640625" style="67" customWidth="1"/>
    <col min="2309" max="2309" width="12.6640625" style="67" customWidth="1"/>
    <col min="2310" max="2310" width="24.1640625" style="67" customWidth="1"/>
    <col min="2311" max="2311" width="13.1640625" style="67" customWidth="1"/>
    <col min="2312" max="2312" width="16.83203125" style="67" customWidth="1"/>
    <col min="2313" max="2552" width="9.33203125" style="67"/>
    <col min="2553" max="2553" width="12.1640625" style="67" customWidth="1"/>
    <col min="2554" max="2554" width="84.83203125" style="67" customWidth="1"/>
    <col min="2555" max="2555" width="12.6640625" style="67" customWidth="1"/>
    <col min="2556" max="2556" width="19" style="67" customWidth="1"/>
    <col min="2557" max="2557" width="17.5" style="67" customWidth="1"/>
    <col min="2558" max="2558" width="22.6640625" style="67" customWidth="1"/>
    <col min="2559" max="2559" width="12.6640625" style="67" customWidth="1"/>
    <col min="2560" max="2560" width="22.6640625" style="67" customWidth="1"/>
    <col min="2561" max="2561" width="12.1640625" style="67" customWidth="1"/>
    <col min="2562" max="2562" width="24.1640625" style="67" customWidth="1"/>
    <col min="2563" max="2563" width="12.1640625" style="67" customWidth="1"/>
    <col min="2564" max="2564" width="25.1640625" style="67" customWidth="1"/>
    <col min="2565" max="2565" width="12.6640625" style="67" customWidth="1"/>
    <col min="2566" max="2566" width="24.1640625" style="67" customWidth="1"/>
    <col min="2567" max="2567" width="13.1640625" style="67" customWidth="1"/>
    <col min="2568" max="2568" width="16.83203125" style="67" customWidth="1"/>
    <col min="2569" max="2808" width="9.33203125" style="67"/>
    <col min="2809" max="2809" width="12.1640625" style="67" customWidth="1"/>
    <col min="2810" max="2810" width="84.83203125" style="67" customWidth="1"/>
    <col min="2811" max="2811" width="12.6640625" style="67" customWidth="1"/>
    <col min="2812" max="2812" width="19" style="67" customWidth="1"/>
    <col min="2813" max="2813" width="17.5" style="67" customWidth="1"/>
    <col min="2814" max="2814" width="22.6640625" style="67" customWidth="1"/>
    <col min="2815" max="2815" width="12.6640625" style="67" customWidth="1"/>
    <col min="2816" max="2816" width="22.6640625" style="67" customWidth="1"/>
    <col min="2817" max="2817" width="12.1640625" style="67" customWidth="1"/>
    <col min="2818" max="2818" width="24.1640625" style="67" customWidth="1"/>
    <col min="2819" max="2819" width="12.1640625" style="67" customWidth="1"/>
    <col min="2820" max="2820" width="25.1640625" style="67" customWidth="1"/>
    <col min="2821" max="2821" width="12.6640625" style="67" customWidth="1"/>
    <col min="2822" max="2822" width="24.1640625" style="67" customWidth="1"/>
    <col min="2823" max="2823" width="13.1640625" style="67" customWidth="1"/>
    <col min="2824" max="2824" width="16.83203125" style="67" customWidth="1"/>
    <col min="2825" max="3064" width="9.33203125" style="67"/>
    <col min="3065" max="3065" width="12.1640625" style="67" customWidth="1"/>
    <col min="3066" max="3066" width="84.83203125" style="67" customWidth="1"/>
    <col min="3067" max="3067" width="12.6640625" style="67" customWidth="1"/>
    <col min="3068" max="3068" width="19" style="67" customWidth="1"/>
    <col min="3069" max="3069" width="17.5" style="67" customWidth="1"/>
    <col min="3070" max="3070" width="22.6640625" style="67" customWidth="1"/>
    <col min="3071" max="3071" width="12.6640625" style="67" customWidth="1"/>
    <col min="3072" max="3072" width="22.6640625" style="67" customWidth="1"/>
    <col min="3073" max="3073" width="12.1640625" style="67" customWidth="1"/>
    <col min="3074" max="3074" width="24.1640625" style="67" customWidth="1"/>
    <col min="3075" max="3075" width="12.1640625" style="67" customWidth="1"/>
    <col min="3076" max="3076" width="25.1640625" style="67" customWidth="1"/>
    <col min="3077" max="3077" width="12.6640625" style="67" customWidth="1"/>
    <col min="3078" max="3078" width="24.1640625" style="67" customWidth="1"/>
    <col min="3079" max="3079" width="13.1640625" style="67" customWidth="1"/>
    <col min="3080" max="3080" width="16.83203125" style="67" customWidth="1"/>
    <col min="3081" max="3320" width="9.33203125" style="67"/>
    <col min="3321" max="3321" width="12.1640625" style="67" customWidth="1"/>
    <col min="3322" max="3322" width="84.83203125" style="67" customWidth="1"/>
    <col min="3323" max="3323" width="12.6640625" style="67" customWidth="1"/>
    <col min="3324" max="3324" width="19" style="67" customWidth="1"/>
    <col min="3325" max="3325" width="17.5" style="67" customWidth="1"/>
    <col min="3326" max="3326" width="22.6640625" style="67" customWidth="1"/>
    <col min="3327" max="3327" width="12.6640625" style="67" customWidth="1"/>
    <col min="3328" max="3328" width="22.6640625" style="67" customWidth="1"/>
    <col min="3329" max="3329" width="12.1640625" style="67" customWidth="1"/>
    <col min="3330" max="3330" width="24.1640625" style="67" customWidth="1"/>
    <col min="3331" max="3331" width="12.1640625" style="67" customWidth="1"/>
    <col min="3332" max="3332" width="25.1640625" style="67" customWidth="1"/>
    <col min="3333" max="3333" width="12.6640625" style="67" customWidth="1"/>
    <col min="3334" max="3334" width="24.1640625" style="67" customWidth="1"/>
    <col min="3335" max="3335" width="13.1640625" style="67" customWidth="1"/>
    <col min="3336" max="3336" width="16.83203125" style="67" customWidth="1"/>
    <col min="3337" max="3576" width="9.33203125" style="67"/>
    <col min="3577" max="3577" width="12.1640625" style="67" customWidth="1"/>
    <col min="3578" max="3578" width="84.83203125" style="67" customWidth="1"/>
    <col min="3579" max="3579" width="12.6640625" style="67" customWidth="1"/>
    <col min="3580" max="3580" width="19" style="67" customWidth="1"/>
    <col min="3581" max="3581" width="17.5" style="67" customWidth="1"/>
    <col min="3582" max="3582" width="22.6640625" style="67" customWidth="1"/>
    <col min="3583" max="3583" width="12.6640625" style="67" customWidth="1"/>
    <col min="3584" max="3584" width="22.6640625" style="67" customWidth="1"/>
    <col min="3585" max="3585" width="12.1640625" style="67" customWidth="1"/>
    <col min="3586" max="3586" width="24.1640625" style="67" customWidth="1"/>
    <col min="3587" max="3587" width="12.1640625" style="67" customWidth="1"/>
    <col min="3588" max="3588" width="25.1640625" style="67" customWidth="1"/>
    <col min="3589" max="3589" width="12.6640625" style="67" customWidth="1"/>
    <col min="3590" max="3590" width="24.1640625" style="67" customWidth="1"/>
    <col min="3591" max="3591" width="13.1640625" style="67" customWidth="1"/>
    <col min="3592" max="3592" width="16.83203125" style="67" customWidth="1"/>
    <col min="3593" max="3832" width="9.33203125" style="67"/>
    <col min="3833" max="3833" width="12.1640625" style="67" customWidth="1"/>
    <col min="3834" max="3834" width="84.83203125" style="67" customWidth="1"/>
    <col min="3835" max="3835" width="12.6640625" style="67" customWidth="1"/>
    <col min="3836" max="3836" width="19" style="67" customWidth="1"/>
    <col min="3837" max="3837" width="17.5" style="67" customWidth="1"/>
    <col min="3838" max="3838" width="22.6640625" style="67" customWidth="1"/>
    <col min="3839" max="3839" width="12.6640625" style="67" customWidth="1"/>
    <col min="3840" max="3840" width="22.6640625" style="67" customWidth="1"/>
    <col min="3841" max="3841" width="12.1640625" style="67" customWidth="1"/>
    <col min="3842" max="3842" width="24.1640625" style="67" customWidth="1"/>
    <col min="3843" max="3843" width="12.1640625" style="67" customWidth="1"/>
    <col min="3844" max="3844" width="25.1640625" style="67" customWidth="1"/>
    <col min="3845" max="3845" width="12.6640625" style="67" customWidth="1"/>
    <col min="3846" max="3846" width="24.1640625" style="67" customWidth="1"/>
    <col min="3847" max="3847" width="13.1640625" style="67" customWidth="1"/>
    <col min="3848" max="3848" width="16.83203125" style="67" customWidth="1"/>
    <col min="3849" max="4088" width="9.33203125" style="67"/>
    <col min="4089" max="4089" width="12.1640625" style="67" customWidth="1"/>
    <col min="4090" max="4090" width="84.83203125" style="67" customWidth="1"/>
    <col min="4091" max="4091" width="12.6640625" style="67" customWidth="1"/>
    <col min="4092" max="4092" width="19" style="67" customWidth="1"/>
    <col min="4093" max="4093" width="17.5" style="67" customWidth="1"/>
    <col min="4094" max="4094" width="22.6640625" style="67" customWidth="1"/>
    <col min="4095" max="4095" width="12.6640625" style="67" customWidth="1"/>
    <col min="4096" max="4096" width="22.6640625" style="67" customWidth="1"/>
    <col min="4097" max="4097" width="12.1640625" style="67" customWidth="1"/>
    <col min="4098" max="4098" width="24.1640625" style="67" customWidth="1"/>
    <col min="4099" max="4099" width="12.1640625" style="67" customWidth="1"/>
    <col min="4100" max="4100" width="25.1640625" style="67" customWidth="1"/>
    <col min="4101" max="4101" width="12.6640625" style="67" customWidth="1"/>
    <col min="4102" max="4102" width="24.1640625" style="67" customWidth="1"/>
    <col min="4103" max="4103" width="13.1640625" style="67" customWidth="1"/>
    <col min="4104" max="4104" width="16.83203125" style="67" customWidth="1"/>
    <col min="4105" max="4344" width="9.33203125" style="67"/>
    <col min="4345" max="4345" width="12.1640625" style="67" customWidth="1"/>
    <col min="4346" max="4346" width="84.83203125" style="67" customWidth="1"/>
    <col min="4347" max="4347" width="12.6640625" style="67" customWidth="1"/>
    <col min="4348" max="4348" width="19" style="67" customWidth="1"/>
    <col min="4349" max="4349" width="17.5" style="67" customWidth="1"/>
    <col min="4350" max="4350" width="22.6640625" style="67" customWidth="1"/>
    <col min="4351" max="4351" width="12.6640625" style="67" customWidth="1"/>
    <col min="4352" max="4352" width="22.6640625" style="67" customWidth="1"/>
    <col min="4353" max="4353" width="12.1640625" style="67" customWidth="1"/>
    <col min="4354" max="4354" width="24.1640625" style="67" customWidth="1"/>
    <col min="4355" max="4355" width="12.1640625" style="67" customWidth="1"/>
    <col min="4356" max="4356" width="25.1640625" style="67" customWidth="1"/>
    <col min="4357" max="4357" width="12.6640625" style="67" customWidth="1"/>
    <col min="4358" max="4358" width="24.1640625" style="67" customWidth="1"/>
    <col min="4359" max="4359" width="13.1640625" style="67" customWidth="1"/>
    <col min="4360" max="4360" width="16.83203125" style="67" customWidth="1"/>
    <col min="4361" max="4600" width="9.33203125" style="67"/>
    <col min="4601" max="4601" width="12.1640625" style="67" customWidth="1"/>
    <col min="4602" max="4602" width="84.83203125" style="67" customWidth="1"/>
    <col min="4603" max="4603" width="12.6640625" style="67" customWidth="1"/>
    <col min="4604" max="4604" width="19" style="67" customWidth="1"/>
    <col min="4605" max="4605" width="17.5" style="67" customWidth="1"/>
    <col min="4606" max="4606" width="22.6640625" style="67" customWidth="1"/>
    <col min="4607" max="4607" width="12.6640625" style="67" customWidth="1"/>
    <col min="4608" max="4608" width="22.6640625" style="67" customWidth="1"/>
    <col min="4609" max="4609" width="12.1640625" style="67" customWidth="1"/>
    <col min="4610" max="4610" width="24.1640625" style="67" customWidth="1"/>
    <col min="4611" max="4611" width="12.1640625" style="67" customWidth="1"/>
    <col min="4612" max="4612" width="25.1640625" style="67" customWidth="1"/>
    <col min="4613" max="4613" width="12.6640625" style="67" customWidth="1"/>
    <col min="4614" max="4614" width="24.1640625" style="67" customWidth="1"/>
    <col min="4615" max="4615" width="13.1640625" style="67" customWidth="1"/>
    <col min="4616" max="4616" width="16.83203125" style="67" customWidth="1"/>
    <col min="4617" max="4856" width="9.33203125" style="67"/>
    <col min="4857" max="4857" width="12.1640625" style="67" customWidth="1"/>
    <col min="4858" max="4858" width="84.83203125" style="67" customWidth="1"/>
    <col min="4859" max="4859" width="12.6640625" style="67" customWidth="1"/>
    <col min="4860" max="4860" width="19" style="67" customWidth="1"/>
    <col min="4861" max="4861" width="17.5" style="67" customWidth="1"/>
    <col min="4862" max="4862" width="22.6640625" style="67" customWidth="1"/>
    <col min="4863" max="4863" width="12.6640625" style="67" customWidth="1"/>
    <col min="4864" max="4864" width="22.6640625" style="67" customWidth="1"/>
    <col min="4865" max="4865" width="12.1640625" style="67" customWidth="1"/>
    <col min="4866" max="4866" width="24.1640625" style="67" customWidth="1"/>
    <col min="4867" max="4867" width="12.1640625" style="67" customWidth="1"/>
    <col min="4868" max="4868" width="25.1640625" style="67" customWidth="1"/>
    <col min="4869" max="4869" width="12.6640625" style="67" customWidth="1"/>
    <col min="4870" max="4870" width="24.1640625" style="67" customWidth="1"/>
    <col min="4871" max="4871" width="13.1640625" style="67" customWidth="1"/>
    <col min="4872" max="4872" width="16.83203125" style="67" customWidth="1"/>
    <col min="4873" max="5112" width="9.33203125" style="67"/>
    <col min="5113" max="5113" width="12.1640625" style="67" customWidth="1"/>
    <col min="5114" max="5114" width="84.83203125" style="67" customWidth="1"/>
    <col min="5115" max="5115" width="12.6640625" style="67" customWidth="1"/>
    <col min="5116" max="5116" width="19" style="67" customWidth="1"/>
    <col min="5117" max="5117" width="17.5" style="67" customWidth="1"/>
    <col min="5118" max="5118" width="22.6640625" style="67" customWidth="1"/>
    <col min="5119" max="5119" width="12.6640625" style="67" customWidth="1"/>
    <col min="5120" max="5120" width="22.6640625" style="67" customWidth="1"/>
    <col min="5121" max="5121" width="12.1640625" style="67" customWidth="1"/>
    <col min="5122" max="5122" width="24.1640625" style="67" customWidth="1"/>
    <col min="5123" max="5123" width="12.1640625" style="67" customWidth="1"/>
    <col min="5124" max="5124" width="25.1640625" style="67" customWidth="1"/>
    <col min="5125" max="5125" width="12.6640625" style="67" customWidth="1"/>
    <col min="5126" max="5126" width="24.1640625" style="67" customWidth="1"/>
    <col min="5127" max="5127" width="13.1640625" style="67" customWidth="1"/>
    <col min="5128" max="5128" width="16.83203125" style="67" customWidth="1"/>
    <col min="5129" max="5368" width="9.33203125" style="67"/>
    <col min="5369" max="5369" width="12.1640625" style="67" customWidth="1"/>
    <col min="5370" max="5370" width="84.83203125" style="67" customWidth="1"/>
    <col min="5371" max="5371" width="12.6640625" style="67" customWidth="1"/>
    <col min="5372" max="5372" width="19" style="67" customWidth="1"/>
    <col min="5373" max="5373" width="17.5" style="67" customWidth="1"/>
    <col min="5374" max="5374" width="22.6640625" style="67" customWidth="1"/>
    <col min="5375" max="5375" width="12.6640625" style="67" customWidth="1"/>
    <col min="5376" max="5376" width="22.6640625" style="67" customWidth="1"/>
    <col min="5377" max="5377" width="12.1640625" style="67" customWidth="1"/>
    <col min="5378" max="5378" width="24.1640625" style="67" customWidth="1"/>
    <col min="5379" max="5379" width="12.1640625" style="67" customWidth="1"/>
    <col min="5380" max="5380" width="25.1640625" style="67" customWidth="1"/>
    <col min="5381" max="5381" width="12.6640625" style="67" customWidth="1"/>
    <col min="5382" max="5382" width="24.1640625" style="67" customWidth="1"/>
    <col min="5383" max="5383" width="13.1640625" style="67" customWidth="1"/>
    <col min="5384" max="5384" width="16.83203125" style="67" customWidth="1"/>
    <col min="5385" max="5624" width="9.33203125" style="67"/>
    <col min="5625" max="5625" width="12.1640625" style="67" customWidth="1"/>
    <col min="5626" max="5626" width="84.83203125" style="67" customWidth="1"/>
    <col min="5627" max="5627" width="12.6640625" style="67" customWidth="1"/>
    <col min="5628" max="5628" width="19" style="67" customWidth="1"/>
    <col min="5629" max="5629" width="17.5" style="67" customWidth="1"/>
    <col min="5630" max="5630" width="22.6640625" style="67" customWidth="1"/>
    <col min="5631" max="5631" width="12.6640625" style="67" customWidth="1"/>
    <col min="5632" max="5632" width="22.6640625" style="67" customWidth="1"/>
    <col min="5633" max="5633" width="12.1640625" style="67" customWidth="1"/>
    <col min="5634" max="5634" width="24.1640625" style="67" customWidth="1"/>
    <col min="5635" max="5635" width="12.1640625" style="67" customWidth="1"/>
    <col min="5636" max="5636" width="25.1640625" style="67" customWidth="1"/>
    <col min="5637" max="5637" width="12.6640625" style="67" customWidth="1"/>
    <col min="5638" max="5638" width="24.1640625" style="67" customWidth="1"/>
    <col min="5639" max="5639" width="13.1640625" style="67" customWidth="1"/>
    <col min="5640" max="5640" width="16.83203125" style="67" customWidth="1"/>
    <col min="5641" max="5880" width="9.33203125" style="67"/>
    <col min="5881" max="5881" width="12.1640625" style="67" customWidth="1"/>
    <col min="5882" max="5882" width="84.83203125" style="67" customWidth="1"/>
    <col min="5883" max="5883" width="12.6640625" style="67" customWidth="1"/>
    <col min="5884" max="5884" width="19" style="67" customWidth="1"/>
    <col min="5885" max="5885" width="17.5" style="67" customWidth="1"/>
    <col min="5886" max="5886" width="22.6640625" style="67" customWidth="1"/>
    <col min="5887" max="5887" width="12.6640625" style="67" customWidth="1"/>
    <col min="5888" max="5888" width="22.6640625" style="67" customWidth="1"/>
    <col min="5889" max="5889" width="12.1640625" style="67" customWidth="1"/>
    <col min="5890" max="5890" width="24.1640625" style="67" customWidth="1"/>
    <col min="5891" max="5891" width="12.1640625" style="67" customWidth="1"/>
    <col min="5892" max="5892" width="25.1640625" style="67" customWidth="1"/>
    <col min="5893" max="5893" width="12.6640625" style="67" customWidth="1"/>
    <col min="5894" max="5894" width="24.1640625" style="67" customWidth="1"/>
    <col min="5895" max="5895" width="13.1640625" style="67" customWidth="1"/>
    <col min="5896" max="5896" width="16.83203125" style="67" customWidth="1"/>
    <col min="5897" max="6136" width="9.33203125" style="67"/>
    <col min="6137" max="6137" width="12.1640625" style="67" customWidth="1"/>
    <col min="6138" max="6138" width="84.83203125" style="67" customWidth="1"/>
    <col min="6139" max="6139" width="12.6640625" style="67" customWidth="1"/>
    <col min="6140" max="6140" width="19" style="67" customWidth="1"/>
    <col min="6141" max="6141" width="17.5" style="67" customWidth="1"/>
    <col min="6142" max="6142" width="22.6640625" style="67" customWidth="1"/>
    <col min="6143" max="6143" width="12.6640625" style="67" customWidth="1"/>
    <col min="6144" max="6144" width="22.6640625" style="67" customWidth="1"/>
    <col min="6145" max="6145" width="12.1640625" style="67" customWidth="1"/>
    <col min="6146" max="6146" width="24.1640625" style="67" customWidth="1"/>
    <col min="6147" max="6147" width="12.1640625" style="67" customWidth="1"/>
    <col min="6148" max="6148" width="25.1640625" style="67" customWidth="1"/>
    <col min="6149" max="6149" width="12.6640625" style="67" customWidth="1"/>
    <col min="6150" max="6150" width="24.1640625" style="67" customWidth="1"/>
    <col min="6151" max="6151" width="13.1640625" style="67" customWidth="1"/>
    <col min="6152" max="6152" width="16.83203125" style="67" customWidth="1"/>
    <col min="6153" max="6392" width="9.33203125" style="67"/>
    <col min="6393" max="6393" width="12.1640625" style="67" customWidth="1"/>
    <col min="6394" max="6394" width="84.83203125" style="67" customWidth="1"/>
    <col min="6395" max="6395" width="12.6640625" style="67" customWidth="1"/>
    <col min="6396" max="6396" width="19" style="67" customWidth="1"/>
    <col min="6397" max="6397" width="17.5" style="67" customWidth="1"/>
    <col min="6398" max="6398" width="22.6640625" style="67" customWidth="1"/>
    <col min="6399" max="6399" width="12.6640625" style="67" customWidth="1"/>
    <col min="6400" max="6400" width="22.6640625" style="67" customWidth="1"/>
    <col min="6401" max="6401" width="12.1640625" style="67" customWidth="1"/>
    <col min="6402" max="6402" width="24.1640625" style="67" customWidth="1"/>
    <col min="6403" max="6403" width="12.1640625" style="67" customWidth="1"/>
    <col min="6404" max="6404" width="25.1640625" style="67" customWidth="1"/>
    <col min="6405" max="6405" width="12.6640625" style="67" customWidth="1"/>
    <col min="6406" max="6406" width="24.1640625" style="67" customWidth="1"/>
    <col min="6407" max="6407" width="13.1640625" style="67" customWidth="1"/>
    <col min="6408" max="6408" width="16.83203125" style="67" customWidth="1"/>
    <col min="6409" max="6648" width="9.33203125" style="67"/>
    <col min="6649" max="6649" width="12.1640625" style="67" customWidth="1"/>
    <col min="6650" max="6650" width="84.83203125" style="67" customWidth="1"/>
    <col min="6651" max="6651" width="12.6640625" style="67" customWidth="1"/>
    <col min="6652" max="6652" width="19" style="67" customWidth="1"/>
    <col min="6653" max="6653" width="17.5" style="67" customWidth="1"/>
    <col min="6654" max="6654" width="22.6640625" style="67" customWidth="1"/>
    <col min="6655" max="6655" width="12.6640625" style="67" customWidth="1"/>
    <col min="6656" max="6656" width="22.6640625" style="67" customWidth="1"/>
    <col min="6657" max="6657" width="12.1640625" style="67" customWidth="1"/>
    <col min="6658" max="6658" width="24.1640625" style="67" customWidth="1"/>
    <col min="6659" max="6659" width="12.1640625" style="67" customWidth="1"/>
    <col min="6660" max="6660" width="25.1640625" style="67" customWidth="1"/>
    <col min="6661" max="6661" width="12.6640625" style="67" customWidth="1"/>
    <col min="6662" max="6662" width="24.1640625" style="67" customWidth="1"/>
    <col min="6663" max="6663" width="13.1640625" style="67" customWidth="1"/>
    <col min="6664" max="6664" width="16.83203125" style="67" customWidth="1"/>
    <col min="6665" max="6904" width="9.33203125" style="67"/>
    <col min="6905" max="6905" width="12.1640625" style="67" customWidth="1"/>
    <col min="6906" max="6906" width="84.83203125" style="67" customWidth="1"/>
    <col min="6907" max="6907" width="12.6640625" style="67" customWidth="1"/>
    <col min="6908" max="6908" width="19" style="67" customWidth="1"/>
    <col min="6909" max="6909" width="17.5" style="67" customWidth="1"/>
    <col min="6910" max="6910" width="22.6640625" style="67" customWidth="1"/>
    <col min="6911" max="6911" width="12.6640625" style="67" customWidth="1"/>
    <col min="6912" max="6912" width="22.6640625" style="67" customWidth="1"/>
    <col min="6913" max="6913" width="12.1640625" style="67" customWidth="1"/>
    <col min="6914" max="6914" width="24.1640625" style="67" customWidth="1"/>
    <col min="6915" max="6915" width="12.1640625" style="67" customWidth="1"/>
    <col min="6916" max="6916" width="25.1640625" style="67" customWidth="1"/>
    <col min="6917" max="6917" width="12.6640625" style="67" customWidth="1"/>
    <col min="6918" max="6918" width="24.1640625" style="67" customWidth="1"/>
    <col min="6919" max="6919" width="13.1640625" style="67" customWidth="1"/>
    <col min="6920" max="6920" width="16.83203125" style="67" customWidth="1"/>
    <col min="6921" max="7160" width="9.33203125" style="67"/>
    <col min="7161" max="7161" width="12.1640625" style="67" customWidth="1"/>
    <col min="7162" max="7162" width="84.83203125" style="67" customWidth="1"/>
    <col min="7163" max="7163" width="12.6640625" style="67" customWidth="1"/>
    <col min="7164" max="7164" width="19" style="67" customWidth="1"/>
    <col min="7165" max="7165" width="17.5" style="67" customWidth="1"/>
    <col min="7166" max="7166" width="22.6640625" style="67" customWidth="1"/>
    <col min="7167" max="7167" width="12.6640625" style="67" customWidth="1"/>
    <col min="7168" max="7168" width="22.6640625" style="67" customWidth="1"/>
    <col min="7169" max="7169" width="12.1640625" style="67" customWidth="1"/>
    <col min="7170" max="7170" width="24.1640625" style="67" customWidth="1"/>
    <col min="7171" max="7171" width="12.1640625" style="67" customWidth="1"/>
    <col min="7172" max="7172" width="25.1640625" style="67" customWidth="1"/>
    <col min="7173" max="7173" width="12.6640625" style="67" customWidth="1"/>
    <col min="7174" max="7174" width="24.1640625" style="67" customWidth="1"/>
    <col min="7175" max="7175" width="13.1640625" style="67" customWidth="1"/>
    <col min="7176" max="7176" width="16.83203125" style="67" customWidth="1"/>
    <col min="7177" max="7416" width="9.33203125" style="67"/>
    <col min="7417" max="7417" width="12.1640625" style="67" customWidth="1"/>
    <col min="7418" max="7418" width="84.83203125" style="67" customWidth="1"/>
    <col min="7419" max="7419" width="12.6640625" style="67" customWidth="1"/>
    <col min="7420" max="7420" width="19" style="67" customWidth="1"/>
    <col min="7421" max="7421" width="17.5" style="67" customWidth="1"/>
    <col min="7422" max="7422" width="22.6640625" style="67" customWidth="1"/>
    <col min="7423" max="7423" width="12.6640625" style="67" customWidth="1"/>
    <col min="7424" max="7424" width="22.6640625" style="67" customWidth="1"/>
    <col min="7425" max="7425" width="12.1640625" style="67" customWidth="1"/>
    <col min="7426" max="7426" width="24.1640625" style="67" customWidth="1"/>
    <col min="7427" max="7427" width="12.1640625" style="67" customWidth="1"/>
    <col min="7428" max="7428" width="25.1640625" style="67" customWidth="1"/>
    <col min="7429" max="7429" width="12.6640625" style="67" customWidth="1"/>
    <col min="7430" max="7430" width="24.1640625" style="67" customWidth="1"/>
    <col min="7431" max="7431" width="13.1640625" style="67" customWidth="1"/>
    <col min="7432" max="7432" width="16.83203125" style="67" customWidth="1"/>
    <col min="7433" max="7672" width="9.33203125" style="67"/>
    <col min="7673" max="7673" width="12.1640625" style="67" customWidth="1"/>
    <col min="7674" max="7674" width="84.83203125" style="67" customWidth="1"/>
    <col min="7675" max="7675" width="12.6640625" style="67" customWidth="1"/>
    <col min="7676" max="7676" width="19" style="67" customWidth="1"/>
    <col min="7677" max="7677" width="17.5" style="67" customWidth="1"/>
    <col min="7678" max="7678" width="22.6640625" style="67" customWidth="1"/>
    <col min="7679" max="7679" width="12.6640625" style="67" customWidth="1"/>
    <col min="7680" max="7680" width="22.6640625" style="67" customWidth="1"/>
    <col min="7681" max="7681" width="12.1640625" style="67" customWidth="1"/>
    <col min="7682" max="7682" width="24.1640625" style="67" customWidth="1"/>
    <col min="7683" max="7683" width="12.1640625" style="67" customWidth="1"/>
    <col min="7684" max="7684" width="25.1640625" style="67" customWidth="1"/>
    <col min="7685" max="7685" width="12.6640625" style="67" customWidth="1"/>
    <col min="7686" max="7686" width="24.1640625" style="67" customWidth="1"/>
    <col min="7687" max="7687" width="13.1640625" style="67" customWidth="1"/>
    <col min="7688" max="7688" width="16.83203125" style="67" customWidth="1"/>
    <col min="7689" max="7928" width="9.33203125" style="67"/>
    <col min="7929" max="7929" width="12.1640625" style="67" customWidth="1"/>
    <col min="7930" max="7930" width="84.83203125" style="67" customWidth="1"/>
    <col min="7931" max="7931" width="12.6640625" style="67" customWidth="1"/>
    <col min="7932" max="7932" width="19" style="67" customWidth="1"/>
    <col min="7933" max="7933" width="17.5" style="67" customWidth="1"/>
    <col min="7934" max="7934" width="22.6640625" style="67" customWidth="1"/>
    <col min="7935" max="7935" width="12.6640625" style="67" customWidth="1"/>
    <col min="7936" max="7936" width="22.6640625" style="67" customWidth="1"/>
    <col min="7937" max="7937" width="12.1640625" style="67" customWidth="1"/>
    <col min="7938" max="7938" width="24.1640625" style="67" customWidth="1"/>
    <col min="7939" max="7939" width="12.1640625" style="67" customWidth="1"/>
    <col min="7940" max="7940" width="25.1640625" style="67" customWidth="1"/>
    <col min="7941" max="7941" width="12.6640625" style="67" customWidth="1"/>
    <col min="7942" max="7942" width="24.1640625" style="67" customWidth="1"/>
    <col min="7943" max="7943" width="13.1640625" style="67" customWidth="1"/>
    <col min="7944" max="7944" width="16.83203125" style="67" customWidth="1"/>
    <col min="7945" max="8184" width="9.33203125" style="67"/>
    <col min="8185" max="8185" width="12.1640625" style="67" customWidth="1"/>
    <col min="8186" max="8186" width="84.83203125" style="67" customWidth="1"/>
    <col min="8187" max="8187" width="12.6640625" style="67" customWidth="1"/>
    <col min="8188" max="8188" width="19" style="67" customWidth="1"/>
    <col min="8189" max="8189" width="17.5" style="67" customWidth="1"/>
    <col min="8190" max="8190" width="22.6640625" style="67" customWidth="1"/>
    <col min="8191" max="8191" width="12.6640625" style="67" customWidth="1"/>
    <col min="8192" max="8192" width="22.6640625" style="67" customWidth="1"/>
    <col min="8193" max="8193" width="12.1640625" style="67" customWidth="1"/>
    <col min="8194" max="8194" width="24.1640625" style="67" customWidth="1"/>
    <col min="8195" max="8195" width="12.1640625" style="67" customWidth="1"/>
    <col min="8196" max="8196" width="25.1640625" style="67" customWidth="1"/>
    <col min="8197" max="8197" width="12.6640625" style="67" customWidth="1"/>
    <col min="8198" max="8198" width="24.1640625" style="67" customWidth="1"/>
    <col min="8199" max="8199" width="13.1640625" style="67" customWidth="1"/>
    <col min="8200" max="8200" width="16.83203125" style="67" customWidth="1"/>
    <col min="8201" max="8440" width="9.33203125" style="67"/>
    <col min="8441" max="8441" width="12.1640625" style="67" customWidth="1"/>
    <col min="8442" max="8442" width="84.83203125" style="67" customWidth="1"/>
    <col min="8443" max="8443" width="12.6640625" style="67" customWidth="1"/>
    <col min="8444" max="8444" width="19" style="67" customWidth="1"/>
    <col min="8445" max="8445" width="17.5" style="67" customWidth="1"/>
    <col min="8446" max="8446" width="22.6640625" style="67" customWidth="1"/>
    <col min="8447" max="8447" width="12.6640625" style="67" customWidth="1"/>
    <col min="8448" max="8448" width="22.6640625" style="67" customWidth="1"/>
    <col min="8449" max="8449" width="12.1640625" style="67" customWidth="1"/>
    <col min="8450" max="8450" width="24.1640625" style="67" customWidth="1"/>
    <col min="8451" max="8451" width="12.1640625" style="67" customWidth="1"/>
    <col min="8452" max="8452" width="25.1640625" style="67" customWidth="1"/>
    <col min="8453" max="8453" width="12.6640625" style="67" customWidth="1"/>
    <col min="8454" max="8454" width="24.1640625" style="67" customWidth="1"/>
    <col min="8455" max="8455" width="13.1640625" style="67" customWidth="1"/>
    <col min="8456" max="8456" width="16.83203125" style="67" customWidth="1"/>
    <col min="8457" max="8696" width="9.33203125" style="67"/>
    <col min="8697" max="8697" width="12.1640625" style="67" customWidth="1"/>
    <col min="8698" max="8698" width="84.83203125" style="67" customWidth="1"/>
    <col min="8699" max="8699" width="12.6640625" style="67" customWidth="1"/>
    <col min="8700" max="8700" width="19" style="67" customWidth="1"/>
    <col min="8701" max="8701" width="17.5" style="67" customWidth="1"/>
    <col min="8702" max="8702" width="22.6640625" style="67" customWidth="1"/>
    <col min="8703" max="8703" width="12.6640625" style="67" customWidth="1"/>
    <col min="8704" max="8704" width="22.6640625" style="67" customWidth="1"/>
    <col min="8705" max="8705" width="12.1640625" style="67" customWidth="1"/>
    <col min="8706" max="8706" width="24.1640625" style="67" customWidth="1"/>
    <col min="8707" max="8707" width="12.1640625" style="67" customWidth="1"/>
    <col min="8708" max="8708" width="25.1640625" style="67" customWidth="1"/>
    <col min="8709" max="8709" width="12.6640625" style="67" customWidth="1"/>
    <col min="8710" max="8710" width="24.1640625" style="67" customWidth="1"/>
    <col min="8711" max="8711" width="13.1640625" style="67" customWidth="1"/>
    <col min="8712" max="8712" width="16.83203125" style="67" customWidth="1"/>
    <col min="8713" max="8952" width="9.33203125" style="67"/>
    <col min="8953" max="8953" width="12.1640625" style="67" customWidth="1"/>
    <col min="8954" max="8954" width="84.83203125" style="67" customWidth="1"/>
    <col min="8955" max="8955" width="12.6640625" style="67" customWidth="1"/>
    <col min="8956" max="8956" width="19" style="67" customWidth="1"/>
    <col min="8957" max="8957" width="17.5" style="67" customWidth="1"/>
    <col min="8958" max="8958" width="22.6640625" style="67" customWidth="1"/>
    <col min="8959" max="8959" width="12.6640625" style="67" customWidth="1"/>
    <col min="8960" max="8960" width="22.6640625" style="67" customWidth="1"/>
    <col min="8961" max="8961" width="12.1640625" style="67" customWidth="1"/>
    <col min="8962" max="8962" width="24.1640625" style="67" customWidth="1"/>
    <col min="8963" max="8963" width="12.1640625" style="67" customWidth="1"/>
    <col min="8964" max="8964" width="25.1640625" style="67" customWidth="1"/>
    <col min="8965" max="8965" width="12.6640625" style="67" customWidth="1"/>
    <col min="8966" max="8966" width="24.1640625" style="67" customWidth="1"/>
    <col min="8967" max="8967" width="13.1640625" style="67" customWidth="1"/>
    <col min="8968" max="8968" width="16.83203125" style="67" customWidth="1"/>
    <col min="8969" max="9208" width="9.33203125" style="67"/>
    <col min="9209" max="9209" width="12.1640625" style="67" customWidth="1"/>
    <col min="9210" max="9210" width="84.83203125" style="67" customWidth="1"/>
    <col min="9211" max="9211" width="12.6640625" style="67" customWidth="1"/>
    <col min="9212" max="9212" width="19" style="67" customWidth="1"/>
    <col min="9213" max="9213" width="17.5" style="67" customWidth="1"/>
    <col min="9214" max="9214" width="22.6640625" style="67" customWidth="1"/>
    <col min="9215" max="9215" width="12.6640625" style="67" customWidth="1"/>
    <col min="9216" max="9216" width="22.6640625" style="67" customWidth="1"/>
    <col min="9217" max="9217" width="12.1640625" style="67" customWidth="1"/>
    <col min="9218" max="9218" width="24.1640625" style="67" customWidth="1"/>
    <col min="9219" max="9219" width="12.1640625" style="67" customWidth="1"/>
    <col min="9220" max="9220" width="25.1640625" style="67" customWidth="1"/>
    <col min="9221" max="9221" width="12.6640625" style="67" customWidth="1"/>
    <col min="9222" max="9222" width="24.1640625" style="67" customWidth="1"/>
    <col min="9223" max="9223" width="13.1640625" style="67" customWidth="1"/>
    <col min="9224" max="9224" width="16.83203125" style="67" customWidth="1"/>
    <col min="9225" max="9464" width="9.33203125" style="67"/>
    <col min="9465" max="9465" width="12.1640625" style="67" customWidth="1"/>
    <col min="9466" max="9466" width="84.83203125" style="67" customWidth="1"/>
    <col min="9467" max="9467" width="12.6640625" style="67" customWidth="1"/>
    <col min="9468" max="9468" width="19" style="67" customWidth="1"/>
    <col min="9469" max="9469" width="17.5" style="67" customWidth="1"/>
    <col min="9470" max="9470" width="22.6640625" style="67" customWidth="1"/>
    <col min="9471" max="9471" width="12.6640625" style="67" customWidth="1"/>
    <col min="9472" max="9472" width="22.6640625" style="67" customWidth="1"/>
    <col min="9473" max="9473" width="12.1640625" style="67" customWidth="1"/>
    <col min="9474" max="9474" width="24.1640625" style="67" customWidth="1"/>
    <col min="9475" max="9475" width="12.1640625" style="67" customWidth="1"/>
    <col min="9476" max="9476" width="25.1640625" style="67" customWidth="1"/>
    <col min="9477" max="9477" width="12.6640625" style="67" customWidth="1"/>
    <col min="9478" max="9478" width="24.1640625" style="67" customWidth="1"/>
    <col min="9479" max="9479" width="13.1640625" style="67" customWidth="1"/>
    <col min="9480" max="9480" width="16.83203125" style="67" customWidth="1"/>
    <col min="9481" max="9720" width="9.33203125" style="67"/>
    <col min="9721" max="9721" width="12.1640625" style="67" customWidth="1"/>
    <col min="9722" max="9722" width="84.83203125" style="67" customWidth="1"/>
    <col min="9723" max="9723" width="12.6640625" style="67" customWidth="1"/>
    <col min="9724" max="9724" width="19" style="67" customWidth="1"/>
    <col min="9725" max="9725" width="17.5" style="67" customWidth="1"/>
    <col min="9726" max="9726" width="22.6640625" style="67" customWidth="1"/>
    <col min="9727" max="9727" width="12.6640625" style="67" customWidth="1"/>
    <col min="9728" max="9728" width="22.6640625" style="67" customWidth="1"/>
    <col min="9729" max="9729" width="12.1640625" style="67" customWidth="1"/>
    <col min="9730" max="9730" width="24.1640625" style="67" customWidth="1"/>
    <col min="9731" max="9731" width="12.1640625" style="67" customWidth="1"/>
    <col min="9732" max="9732" width="25.1640625" style="67" customWidth="1"/>
    <col min="9733" max="9733" width="12.6640625" style="67" customWidth="1"/>
    <col min="9734" max="9734" width="24.1640625" style="67" customWidth="1"/>
    <col min="9735" max="9735" width="13.1640625" style="67" customWidth="1"/>
    <col min="9736" max="9736" width="16.83203125" style="67" customWidth="1"/>
    <col min="9737" max="9976" width="9.33203125" style="67"/>
    <col min="9977" max="9977" width="12.1640625" style="67" customWidth="1"/>
    <col min="9978" max="9978" width="84.83203125" style="67" customWidth="1"/>
    <col min="9979" max="9979" width="12.6640625" style="67" customWidth="1"/>
    <col min="9980" max="9980" width="19" style="67" customWidth="1"/>
    <col min="9981" max="9981" width="17.5" style="67" customWidth="1"/>
    <col min="9982" max="9982" width="22.6640625" style="67" customWidth="1"/>
    <col min="9983" max="9983" width="12.6640625" style="67" customWidth="1"/>
    <col min="9984" max="9984" width="22.6640625" style="67" customWidth="1"/>
    <col min="9985" max="9985" width="12.1640625" style="67" customWidth="1"/>
    <col min="9986" max="9986" width="24.1640625" style="67" customWidth="1"/>
    <col min="9987" max="9987" width="12.1640625" style="67" customWidth="1"/>
    <col min="9988" max="9988" width="25.1640625" style="67" customWidth="1"/>
    <col min="9989" max="9989" width="12.6640625" style="67" customWidth="1"/>
    <col min="9990" max="9990" width="24.1640625" style="67" customWidth="1"/>
    <col min="9991" max="9991" width="13.1640625" style="67" customWidth="1"/>
    <col min="9992" max="9992" width="16.83203125" style="67" customWidth="1"/>
    <col min="9993" max="10232" width="9.33203125" style="67"/>
    <col min="10233" max="10233" width="12.1640625" style="67" customWidth="1"/>
    <col min="10234" max="10234" width="84.83203125" style="67" customWidth="1"/>
    <col min="10235" max="10235" width="12.6640625" style="67" customWidth="1"/>
    <col min="10236" max="10236" width="19" style="67" customWidth="1"/>
    <col min="10237" max="10237" width="17.5" style="67" customWidth="1"/>
    <col min="10238" max="10238" width="22.6640625" style="67" customWidth="1"/>
    <col min="10239" max="10239" width="12.6640625" style="67" customWidth="1"/>
    <col min="10240" max="10240" width="22.6640625" style="67" customWidth="1"/>
    <col min="10241" max="10241" width="12.1640625" style="67" customWidth="1"/>
    <col min="10242" max="10242" width="24.1640625" style="67" customWidth="1"/>
    <col min="10243" max="10243" width="12.1640625" style="67" customWidth="1"/>
    <col min="10244" max="10244" width="25.1640625" style="67" customWidth="1"/>
    <col min="10245" max="10245" width="12.6640625" style="67" customWidth="1"/>
    <col min="10246" max="10246" width="24.1640625" style="67" customWidth="1"/>
    <col min="10247" max="10247" width="13.1640625" style="67" customWidth="1"/>
    <col min="10248" max="10248" width="16.83203125" style="67" customWidth="1"/>
    <col min="10249" max="10488" width="9.33203125" style="67"/>
    <col min="10489" max="10489" width="12.1640625" style="67" customWidth="1"/>
    <col min="10490" max="10490" width="84.83203125" style="67" customWidth="1"/>
    <col min="10491" max="10491" width="12.6640625" style="67" customWidth="1"/>
    <col min="10492" max="10492" width="19" style="67" customWidth="1"/>
    <col min="10493" max="10493" width="17.5" style="67" customWidth="1"/>
    <col min="10494" max="10494" width="22.6640625" style="67" customWidth="1"/>
    <col min="10495" max="10495" width="12.6640625" style="67" customWidth="1"/>
    <col min="10496" max="10496" width="22.6640625" style="67" customWidth="1"/>
    <col min="10497" max="10497" width="12.1640625" style="67" customWidth="1"/>
    <col min="10498" max="10498" width="24.1640625" style="67" customWidth="1"/>
    <col min="10499" max="10499" width="12.1640625" style="67" customWidth="1"/>
    <col min="10500" max="10500" width="25.1640625" style="67" customWidth="1"/>
    <col min="10501" max="10501" width="12.6640625" style="67" customWidth="1"/>
    <col min="10502" max="10502" width="24.1640625" style="67" customWidth="1"/>
    <col min="10503" max="10503" width="13.1640625" style="67" customWidth="1"/>
    <col min="10504" max="10504" width="16.83203125" style="67" customWidth="1"/>
    <col min="10505" max="10744" width="9.33203125" style="67"/>
    <col min="10745" max="10745" width="12.1640625" style="67" customWidth="1"/>
    <col min="10746" max="10746" width="84.83203125" style="67" customWidth="1"/>
    <col min="10747" max="10747" width="12.6640625" style="67" customWidth="1"/>
    <col min="10748" max="10748" width="19" style="67" customWidth="1"/>
    <col min="10749" max="10749" width="17.5" style="67" customWidth="1"/>
    <col min="10750" max="10750" width="22.6640625" style="67" customWidth="1"/>
    <col min="10751" max="10751" width="12.6640625" style="67" customWidth="1"/>
    <col min="10752" max="10752" width="22.6640625" style="67" customWidth="1"/>
    <col min="10753" max="10753" width="12.1640625" style="67" customWidth="1"/>
    <col min="10754" max="10754" width="24.1640625" style="67" customWidth="1"/>
    <col min="10755" max="10755" width="12.1640625" style="67" customWidth="1"/>
    <col min="10756" max="10756" width="25.1640625" style="67" customWidth="1"/>
    <col min="10757" max="10757" width="12.6640625" style="67" customWidth="1"/>
    <col min="10758" max="10758" width="24.1640625" style="67" customWidth="1"/>
    <col min="10759" max="10759" width="13.1640625" style="67" customWidth="1"/>
    <col min="10760" max="10760" width="16.83203125" style="67" customWidth="1"/>
    <col min="10761" max="11000" width="9.33203125" style="67"/>
    <col min="11001" max="11001" width="12.1640625" style="67" customWidth="1"/>
    <col min="11002" max="11002" width="84.83203125" style="67" customWidth="1"/>
    <col min="11003" max="11003" width="12.6640625" style="67" customWidth="1"/>
    <col min="11004" max="11004" width="19" style="67" customWidth="1"/>
    <col min="11005" max="11005" width="17.5" style="67" customWidth="1"/>
    <col min="11006" max="11006" width="22.6640625" style="67" customWidth="1"/>
    <col min="11007" max="11007" width="12.6640625" style="67" customWidth="1"/>
    <col min="11008" max="11008" width="22.6640625" style="67" customWidth="1"/>
    <col min="11009" max="11009" width="12.1640625" style="67" customWidth="1"/>
    <col min="11010" max="11010" width="24.1640625" style="67" customWidth="1"/>
    <col min="11011" max="11011" width="12.1640625" style="67" customWidth="1"/>
    <col min="11012" max="11012" width="25.1640625" style="67" customWidth="1"/>
    <col min="11013" max="11013" width="12.6640625" style="67" customWidth="1"/>
    <col min="11014" max="11014" width="24.1640625" style="67" customWidth="1"/>
    <col min="11015" max="11015" width="13.1640625" style="67" customWidth="1"/>
    <col min="11016" max="11016" width="16.83203125" style="67" customWidth="1"/>
    <col min="11017" max="11256" width="9.33203125" style="67"/>
    <col min="11257" max="11257" width="12.1640625" style="67" customWidth="1"/>
    <col min="11258" max="11258" width="84.83203125" style="67" customWidth="1"/>
    <col min="11259" max="11259" width="12.6640625" style="67" customWidth="1"/>
    <col min="11260" max="11260" width="19" style="67" customWidth="1"/>
    <col min="11261" max="11261" width="17.5" style="67" customWidth="1"/>
    <col min="11262" max="11262" width="22.6640625" style="67" customWidth="1"/>
    <col min="11263" max="11263" width="12.6640625" style="67" customWidth="1"/>
    <col min="11264" max="11264" width="22.6640625" style="67" customWidth="1"/>
    <col min="11265" max="11265" width="12.1640625" style="67" customWidth="1"/>
    <col min="11266" max="11266" width="24.1640625" style="67" customWidth="1"/>
    <col min="11267" max="11267" width="12.1640625" style="67" customWidth="1"/>
    <col min="11268" max="11268" width="25.1640625" style="67" customWidth="1"/>
    <col min="11269" max="11269" width="12.6640625" style="67" customWidth="1"/>
    <col min="11270" max="11270" width="24.1640625" style="67" customWidth="1"/>
    <col min="11271" max="11271" width="13.1640625" style="67" customWidth="1"/>
    <col min="11272" max="11272" width="16.83203125" style="67" customWidth="1"/>
    <col min="11273" max="11512" width="9.33203125" style="67"/>
    <col min="11513" max="11513" width="12.1640625" style="67" customWidth="1"/>
    <col min="11514" max="11514" width="84.83203125" style="67" customWidth="1"/>
    <col min="11515" max="11515" width="12.6640625" style="67" customWidth="1"/>
    <col min="11516" max="11516" width="19" style="67" customWidth="1"/>
    <col min="11517" max="11517" width="17.5" style="67" customWidth="1"/>
    <col min="11518" max="11518" width="22.6640625" style="67" customWidth="1"/>
    <col min="11519" max="11519" width="12.6640625" style="67" customWidth="1"/>
    <col min="11520" max="11520" width="22.6640625" style="67" customWidth="1"/>
    <col min="11521" max="11521" width="12.1640625" style="67" customWidth="1"/>
    <col min="11522" max="11522" width="24.1640625" style="67" customWidth="1"/>
    <col min="11523" max="11523" width="12.1640625" style="67" customWidth="1"/>
    <col min="11524" max="11524" width="25.1640625" style="67" customWidth="1"/>
    <col min="11525" max="11525" width="12.6640625" style="67" customWidth="1"/>
    <col min="11526" max="11526" width="24.1640625" style="67" customWidth="1"/>
    <col min="11527" max="11527" width="13.1640625" style="67" customWidth="1"/>
    <col min="11528" max="11528" width="16.83203125" style="67" customWidth="1"/>
    <col min="11529" max="11768" width="9.33203125" style="67"/>
    <col min="11769" max="11769" width="12.1640625" style="67" customWidth="1"/>
    <col min="11770" max="11770" width="84.83203125" style="67" customWidth="1"/>
    <col min="11771" max="11771" width="12.6640625" style="67" customWidth="1"/>
    <col min="11772" max="11772" width="19" style="67" customWidth="1"/>
    <col min="11773" max="11773" width="17.5" style="67" customWidth="1"/>
    <col min="11774" max="11774" width="22.6640625" style="67" customWidth="1"/>
    <col min="11775" max="11775" width="12.6640625" style="67" customWidth="1"/>
    <col min="11776" max="11776" width="22.6640625" style="67" customWidth="1"/>
    <col min="11777" max="11777" width="12.1640625" style="67" customWidth="1"/>
    <col min="11778" max="11778" width="24.1640625" style="67" customWidth="1"/>
    <col min="11779" max="11779" width="12.1640625" style="67" customWidth="1"/>
    <col min="11780" max="11780" width="25.1640625" style="67" customWidth="1"/>
    <col min="11781" max="11781" width="12.6640625" style="67" customWidth="1"/>
    <col min="11782" max="11782" width="24.1640625" style="67" customWidth="1"/>
    <col min="11783" max="11783" width="13.1640625" style="67" customWidth="1"/>
    <col min="11784" max="11784" width="16.83203125" style="67" customWidth="1"/>
    <col min="11785" max="12024" width="9.33203125" style="67"/>
    <col min="12025" max="12025" width="12.1640625" style="67" customWidth="1"/>
    <col min="12026" max="12026" width="84.83203125" style="67" customWidth="1"/>
    <col min="12027" max="12027" width="12.6640625" style="67" customWidth="1"/>
    <col min="12028" max="12028" width="19" style="67" customWidth="1"/>
    <col min="12029" max="12029" width="17.5" style="67" customWidth="1"/>
    <col min="12030" max="12030" width="22.6640625" style="67" customWidth="1"/>
    <col min="12031" max="12031" width="12.6640625" style="67" customWidth="1"/>
    <col min="12032" max="12032" width="22.6640625" style="67" customWidth="1"/>
    <col min="12033" max="12033" width="12.1640625" style="67" customWidth="1"/>
    <col min="12034" max="12034" width="24.1640625" style="67" customWidth="1"/>
    <col min="12035" max="12035" width="12.1640625" style="67" customWidth="1"/>
    <col min="12036" max="12036" width="25.1640625" style="67" customWidth="1"/>
    <col min="12037" max="12037" width="12.6640625" style="67" customWidth="1"/>
    <col min="12038" max="12038" width="24.1640625" style="67" customWidth="1"/>
    <col min="12039" max="12039" width="13.1640625" style="67" customWidth="1"/>
    <col min="12040" max="12040" width="16.83203125" style="67" customWidth="1"/>
    <col min="12041" max="12280" width="9.33203125" style="67"/>
    <col min="12281" max="12281" width="12.1640625" style="67" customWidth="1"/>
    <col min="12282" max="12282" width="84.83203125" style="67" customWidth="1"/>
    <col min="12283" max="12283" width="12.6640625" style="67" customWidth="1"/>
    <col min="12284" max="12284" width="19" style="67" customWidth="1"/>
    <col min="12285" max="12285" width="17.5" style="67" customWidth="1"/>
    <col min="12286" max="12286" width="22.6640625" style="67" customWidth="1"/>
    <col min="12287" max="12287" width="12.6640625" style="67" customWidth="1"/>
    <col min="12288" max="12288" width="22.6640625" style="67" customWidth="1"/>
    <col min="12289" max="12289" width="12.1640625" style="67" customWidth="1"/>
    <col min="12290" max="12290" width="24.1640625" style="67" customWidth="1"/>
    <col min="12291" max="12291" width="12.1640625" style="67" customWidth="1"/>
    <col min="12292" max="12292" width="25.1640625" style="67" customWidth="1"/>
    <col min="12293" max="12293" width="12.6640625" style="67" customWidth="1"/>
    <col min="12294" max="12294" width="24.1640625" style="67" customWidth="1"/>
    <col min="12295" max="12295" width="13.1640625" style="67" customWidth="1"/>
    <col min="12296" max="12296" width="16.83203125" style="67" customWidth="1"/>
    <col min="12297" max="12536" width="9.33203125" style="67"/>
    <col min="12537" max="12537" width="12.1640625" style="67" customWidth="1"/>
    <col min="12538" max="12538" width="84.83203125" style="67" customWidth="1"/>
    <col min="12539" max="12539" width="12.6640625" style="67" customWidth="1"/>
    <col min="12540" max="12540" width="19" style="67" customWidth="1"/>
    <col min="12541" max="12541" width="17.5" style="67" customWidth="1"/>
    <col min="12542" max="12542" width="22.6640625" style="67" customWidth="1"/>
    <col min="12543" max="12543" width="12.6640625" style="67" customWidth="1"/>
    <col min="12544" max="12544" width="22.6640625" style="67" customWidth="1"/>
    <col min="12545" max="12545" width="12.1640625" style="67" customWidth="1"/>
    <col min="12546" max="12546" width="24.1640625" style="67" customWidth="1"/>
    <col min="12547" max="12547" width="12.1640625" style="67" customWidth="1"/>
    <col min="12548" max="12548" width="25.1640625" style="67" customWidth="1"/>
    <col min="12549" max="12549" width="12.6640625" style="67" customWidth="1"/>
    <col min="12550" max="12550" width="24.1640625" style="67" customWidth="1"/>
    <col min="12551" max="12551" width="13.1640625" style="67" customWidth="1"/>
    <col min="12552" max="12552" width="16.83203125" style="67" customWidth="1"/>
    <col min="12553" max="12792" width="9.33203125" style="67"/>
    <col min="12793" max="12793" width="12.1640625" style="67" customWidth="1"/>
    <col min="12794" max="12794" width="84.83203125" style="67" customWidth="1"/>
    <col min="12795" max="12795" width="12.6640625" style="67" customWidth="1"/>
    <col min="12796" max="12796" width="19" style="67" customWidth="1"/>
    <col min="12797" max="12797" width="17.5" style="67" customWidth="1"/>
    <col min="12798" max="12798" width="22.6640625" style="67" customWidth="1"/>
    <col min="12799" max="12799" width="12.6640625" style="67" customWidth="1"/>
    <col min="12800" max="12800" width="22.6640625" style="67" customWidth="1"/>
    <col min="12801" max="12801" width="12.1640625" style="67" customWidth="1"/>
    <col min="12802" max="12802" width="24.1640625" style="67" customWidth="1"/>
    <col min="12803" max="12803" width="12.1640625" style="67" customWidth="1"/>
    <col min="12804" max="12804" width="25.1640625" style="67" customWidth="1"/>
    <col min="12805" max="12805" width="12.6640625" style="67" customWidth="1"/>
    <col min="12806" max="12806" width="24.1640625" style="67" customWidth="1"/>
    <col min="12807" max="12807" width="13.1640625" style="67" customWidth="1"/>
    <col min="12808" max="12808" width="16.83203125" style="67" customWidth="1"/>
    <col min="12809" max="13048" width="9.33203125" style="67"/>
    <col min="13049" max="13049" width="12.1640625" style="67" customWidth="1"/>
    <col min="13050" max="13050" width="84.83203125" style="67" customWidth="1"/>
    <col min="13051" max="13051" width="12.6640625" style="67" customWidth="1"/>
    <col min="13052" max="13052" width="19" style="67" customWidth="1"/>
    <col min="13053" max="13053" width="17.5" style="67" customWidth="1"/>
    <col min="13054" max="13054" width="22.6640625" style="67" customWidth="1"/>
    <col min="13055" max="13055" width="12.6640625" style="67" customWidth="1"/>
    <col min="13056" max="13056" width="22.6640625" style="67" customWidth="1"/>
    <col min="13057" max="13057" width="12.1640625" style="67" customWidth="1"/>
    <col min="13058" max="13058" width="24.1640625" style="67" customWidth="1"/>
    <col min="13059" max="13059" width="12.1640625" style="67" customWidth="1"/>
    <col min="13060" max="13060" width="25.1640625" style="67" customWidth="1"/>
    <col min="13061" max="13061" width="12.6640625" style="67" customWidth="1"/>
    <col min="13062" max="13062" width="24.1640625" style="67" customWidth="1"/>
    <col min="13063" max="13063" width="13.1640625" style="67" customWidth="1"/>
    <col min="13064" max="13064" width="16.83203125" style="67" customWidth="1"/>
    <col min="13065" max="13304" width="9.33203125" style="67"/>
    <col min="13305" max="13305" width="12.1640625" style="67" customWidth="1"/>
    <col min="13306" max="13306" width="84.83203125" style="67" customWidth="1"/>
    <col min="13307" max="13307" width="12.6640625" style="67" customWidth="1"/>
    <col min="13308" max="13308" width="19" style="67" customWidth="1"/>
    <col min="13309" max="13309" width="17.5" style="67" customWidth="1"/>
    <col min="13310" max="13310" width="22.6640625" style="67" customWidth="1"/>
    <col min="13311" max="13311" width="12.6640625" style="67" customWidth="1"/>
    <col min="13312" max="13312" width="22.6640625" style="67" customWidth="1"/>
    <col min="13313" max="13313" width="12.1640625" style="67" customWidth="1"/>
    <col min="13314" max="13314" width="24.1640625" style="67" customWidth="1"/>
    <col min="13315" max="13315" width="12.1640625" style="67" customWidth="1"/>
    <col min="13316" max="13316" width="25.1640625" style="67" customWidth="1"/>
    <col min="13317" max="13317" width="12.6640625" style="67" customWidth="1"/>
    <col min="13318" max="13318" width="24.1640625" style="67" customWidth="1"/>
    <col min="13319" max="13319" width="13.1640625" style="67" customWidth="1"/>
    <col min="13320" max="13320" width="16.83203125" style="67" customWidth="1"/>
    <col min="13321" max="13560" width="9.33203125" style="67"/>
    <col min="13561" max="13561" width="12.1640625" style="67" customWidth="1"/>
    <col min="13562" max="13562" width="84.83203125" style="67" customWidth="1"/>
    <col min="13563" max="13563" width="12.6640625" style="67" customWidth="1"/>
    <col min="13564" max="13564" width="19" style="67" customWidth="1"/>
    <col min="13565" max="13565" width="17.5" style="67" customWidth="1"/>
    <col min="13566" max="13566" width="22.6640625" style="67" customWidth="1"/>
    <col min="13567" max="13567" width="12.6640625" style="67" customWidth="1"/>
    <col min="13568" max="13568" width="22.6640625" style="67" customWidth="1"/>
    <col min="13569" max="13569" width="12.1640625" style="67" customWidth="1"/>
    <col min="13570" max="13570" width="24.1640625" style="67" customWidth="1"/>
    <col min="13571" max="13571" width="12.1640625" style="67" customWidth="1"/>
    <col min="13572" max="13572" width="25.1640625" style="67" customWidth="1"/>
    <col min="13573" max="13573" width="12.6640625" style="67" customWidth="1"/>
    <col min="13574" max="13574" width="24.1640625" style="67" customWidth="1"/>
    <col min="13575" max="13575" width="13.1640625" style="67" customWidth="1"/>
    <col min="13576" max="13576" width="16.83203125" style="67" customWidth="1"/>
    <col min="13577" max="13816" width="9.33203125" style="67"/>
    <col min="13817" max="13817" width="12.1640625" style="67" customWidth="1"/>
    <col min="13818" max="13818" width="84.83203125" style="67" customWidth="1"/>
    <col min="13819" max="13819" width="12.6640625" style="67" customWidth="1"/>
    <col min="13820" max="13820" width="19" style="67" customWidth="1"/>
    <col min="13821" max="13821" width="17.5" style="67" customWidth="1"/>
    <col min="13822" max="13822" width="22.6640625" style="67" customWidth="1"/>
    <col min="13823" max="13823" width="12.6640625" style="67" customWidth="1"/>
    <col min="13824" max="13824" width="22.6640625" style="67" customWidth="1"/>
    <col min="13825" max="13825" width="12.1640625" style="67" customWidth="1"/>
    <col min="13826" max="13826" width="24.1640625" style="67" customWidth="1"/>
    <col min="13827" max="13827" width="12.1640625" style="67" customWidth="1"/>
    <col min="13828" max="13828" width="25.1640625" style="67" customWidth="1"/>
    <col min="13829" max="13829" width="12.6640625" style="67" customWidth="1"/>
    <col min="13830" max="13830" width="24.1640625" style="67" customWidth="1"/>
    <col min="13831" max="13831" width="13.1640625" style="67" customWidth="1"/>
    <col min="13832" max="13832" width="16.83203125" style="67" customWidth="1"/>
    <col min="13833" max="14072" width="9.33203125" style="67"/>
    <col min="14073" max="14073" width="12.1640625" style="67" customWidth="1"/>
    <col min="14074" max="14074" width="84.83203125" style="67" customWidth="1"/>
    <col min="14075" max="14075" width="12.6640625" style="67" customWidth="1"/>
    <col min="14076" max="14076" width="19" style="67" customWidth="1"/>
    <col min="14077" max="14077" width="17.5" style="67" customWidth="1"/>
    <col min="14078" max="14078" width="22.6640625" style="67" customWidth="1"/>
    <col min="14079" max="14079" width="12.6640625" style="67" customWidth="1"/>
    <col min="14080" max="14080" width="22.6640625" style="67" customWidth="1"/>
    <col min="14081" max="14081" width="12.1640625" style="67" customWidth="1"/>
    <col min="14082" max="14082" width="24.1640625" style="67" customWidth="1"/>
    <col min="14083" max="14083" width="12.1640625" style="67" customWidth="1"/>
    <col min="14084" max="14084" width="25.1640625" style="67" customWidth="1"/>
    <col min="14085" max="14085" width="12.6640625" style="67" customWidth="1"/>
    <col min="14086" max="14086" width="24.1640625" style="67" customWidth="1"/>
    <col min="14087" max="14087" width="13.1640625" style="67" customWidth="1"/>
    <col min="14088" max="14088" width="16.83203125" style="67" customWidth="1"/>
    <col min="14089" max="14328" width="9.33203125" style="67"/>
    <col min="14329" max="14329" width="12.1640625" style="67" customWidth="1"/>
    <col min="14330" max="14330" width="84.83203125" style="67" customWidth="1"/>
    <col min="14331" max="14331" width="12.6640625" style="67" customWidth="1"/>
    <col min="14332" max="14332" width="19" style="67" customWidth="1"/>
    <col min="14333" max="14333" width="17.5" style="67" customWidth="1"/>
    <col min="14334" max="14334" width="22.6640625" style="67" customWidth="1"/>
    <col min="14335" max="14335" width="12.6640625" style="67" customWidth="1"/>
    <col min="14336" max="14336" width="22.6640625" style="67" customWidth="1"/>
    <col min="14337" max="14337" width="12.1640625" style="67" customWidth="1"/>
    <col min="14338" max="14338" width="24.1640625" style="67" customWidth="1"/>
    <col min="14339" max="14339" width="12.1640625" style="67" customWidth="1"/>
    <col min="14340" max="14340" width="25.1640625" style="67" customWidth="1"/>
    <col min="14341" max="14341" width="12.6640625" style="67" customWidth="1"/>
    <col min="14342" max="14342" width="24.1640625" style="67" customWidth="1"/>
    <col min="14343" max="14343" width="13.1640625" style="67" customWidth="1"/>
    <col min="14344" max="14344" width="16.83203125" style="67" customWidth="1"/>
    <col min="14345" max="14584" width="9.33203125" style="67"/>
    <col min="14585" max="14585" width="12.1640625" style="67" customWidth="1"/>
    <col min="14586" max="14586" width="84.83203125" style="67" customWidth="1"/>
    <col min="14587" max="14587" width="12.6640625" style="67" customWidth="1"/>
    <col min="14588" max="14588" width="19" style="67" customWidth="1"/>
    <col min="14589" max="14589" width="17.5" style="67" customWidth="1"/>
    <col min="14590" max="14590" width="22.6640625" style="67" customWidth="1"/>
    <col min="14591" max="14591" width="12.6640625" style="67" customWidth="1"/>
    <col min="14592" max="14592" width="22.6640625" style="67" customWidth="1"/>
    <col min="14593" max="14593" width="12.1640625" style="67" customWidth="1"/>
    <col min="14594" max="14594" width="24.1640625" style="67" customWidth="1"/>
    <col min="14595" max="14595" width="12.1640625" style="67" customWidth="1"/>
    <col min="14596" max="14596" width="25.1640625" style="67" customWidth="1"/>
    <col min="14597" max="14597" width="12.6640625" style="67" customWidth="1"/>
    <col min="14598" max="14598" width="24.1640625" style="67" customWidth="1"/>
    <col min="14599" max="14599" width="13.1640625" style="67" customWidth="1"/>
    <col min="14600" max="14600" width="16.83203125" style="67" customWidth="1"/>
    <col min="14601" max="14840" width="9.33203125" style="67"/>
    <col min="14841" max="14841" width="12.1640625" style="67" customWidth="1"/>
    <col min="14842" max="14842" width="84.83203125" style="67" customWidth="1"/>
    <col min="14843" max="14843" width="12.6640625" style="67" customWidth="1"/>
    <col min="14844" max="14844" width="19" style="67" customWidth="1"/>
    <col min="14845" max="14845" width="17.5" style="67" customWidth="1"/>
    <col min="14846" max="14846" width="22.6640625" style="67" customWidth="1"/>
    <col min="14847" max="14847" width="12.6640625" style="67" customWidth="1"/>
    <col min="14848" max="14848" width="22.6640625" style="67" customWidth="1"/>
    <col min="14849" max="14849" width="12.1640625" style="67" customWidth="1"/>
    <col min="14850" max="14850" width="24.1640625" style="67" customWidth="1"/>
    <col min="14851" max="14851" width="12.1640625" style="67" customWidth="1"/>
    <col min="14852" max="14852" width="25.1640625" style="67" customWidth="1"/>
    <col min="14853" max="14853" width="12.6640625" style="67" customWidth="1"/>
    <col min="14854" max="14854" width="24.1640625" style="67" customWidth="1"/>
    <col min="14855" max="14855" width="13.1640625" style="67" customWidth="1"/>
    <col min="14856" max="14856" width="16.83203125" style="67" customWidth="1"/>
    <col min="14857" max="15096" width="9.33203125" style="67"/>
    <col min="15097" max="15097" width="12.1640625" style="67" customWidth="1"/>
    <col min="15098" max="15098" width="84.83203125" style="67" customWidth="1"/>
    <col min="15099" max="15099" width="12.6640625" style="67" customWidth="1"/>
    <col min="15100" max="15100" width="19" style="67" customWidth="1"/>
    <col min="15101" max="15101" width="17.5" style="67" customWidth="1"/>
    <col min="15102" max="15102" width="22.6640625" style="67" customWidth="1"/>
    <col min="15103" max="15103" width="12.6640625" style="67" customWidth="1"/>
    <col min="15104" max="15104" width="22.6640625" style="67" customWidth="1"/>
    <col min="15105" max="15105" width="12.1640625" style="67" customWidth="1"/>
    <col min="15106" max="15106" width="24.1640625" style="67" customWidth="1"/>
    <col min="15107" max="15107" width="12.1640625" style="67" customWidth="1"/>
    <col min="15108" max="15108" width="25.1640625" style="67" customWidth="1"/>
    <col min="15109" max="15109" width="12.6640625" style="67" customWidth="1"/>
    <col min="15110" max="15110" width="24.1640625" style="67" customWidth="1"/>
    <col min="15111" max="15111" width="13.1640625" style="67" customWidth="1"/>
    <col min="15112" max="15112" width="16.83203125" style="67" customWidth="1"/>
    <col min="15113" max="15352" width="9.33203125" style="67"/>
    <col min="15353" max="15353" width="12.1640625" style="67" customWidth="1"/>
    <col min="15354" max="15354" width="84.83203125" style="67" customWidth="1"/>
    <col min="15355" max="15355" width="12.6640625" style="67" customWidth="1"/>
    <col min="15356" max="15356" width="19" style="67" customWidth="1"/>
    <col min="15357" max="15357" width="17.5" style="67" customWidth="1"/>
    <col min="15358" max="15358" width="22.6640625" style="67" customWidth="1"/>
    <col min="15359" max="15359" width="12.6640625" style="67" customWidth="1"/>
    <col min="15360" max="15360" width="22.6640625" style="67" customWidth="1"/>
    <col min="15361" max="15361" width="12.1640625" style="67" customWidth="1"/>
    <col min="15362" max="15362" width="24.1640625" style="67" customWidth="1"/>
    <col min="15363" max="15363" width="12.1640625" style="67" customWidth="1"/>
    <col min="15364" max="15364" width="25.1640625" style="67" customWidth="1"/>
    <col min="15365" max="15365" width="12.6640625" style="67" customWidth="1"/>
    <col min="15366" max="15366" width="24.1640625" style="67" customWidth="1"/>
    <col min="15367" max="15367" width="13.1640625" style="67" customWidth="1"/>
    <col min="15368" max="15368" width="16.83203125" style="67" customWidth="1"/>
    <col min="15369" max="15608" width="9.33203125" style="67"/>
    <col min="15609" max="15609" width="12.1640625" style="67" customWidth="1"/>
    <col min="15610" max="15610" width="84.83203125" style="67" customWidth="1"/>
    <col min="15611" max="15611" width="12.6640625" style="67" customWidth="1"/>
    <col min="15612" max="15612" width="19" style="67" customWidth="1"/>
    <col min="15613" max="15613" width="17.5" style="67" customWidth="1"/>
    <col min="15614" max="15614" width="22.6640625" style="67" customWidth="1"/>
    <col min="15615" max="15615" width="12.6640625" style="67" customWidth="1"/>
    <col min="15616" max="15616" width="22.6640625" style="67" customWidth="1"/>
    <col min="15617" max="15617" width="12.1640625" style="67" customWidth="1"/>
    <col min="15618" max="15618" width="24.1640625" style="67" customWidth="1"/>
    <col min="15619" max="15619" width="12.1640625" style="67" customWidth="1"/>
    <col min="15620" max="15620" width="25.1640625" style="67" customWidth="1"/>
    <col min="15621" max="15621" width="12.6640625" style="67" customWidth="1"/>
    <col min="15622" max="15622" width="24.1640625" style="67" customWidth="1"/>
    <col min="15623" max="15623" width="13.1640625" style="67" customWidth="1"/>
    <col min="15624" max="15624" width="16.83203125" style="67" customWidth="1"/>
    <col min="15625" max="15864" width="9.33203125" style="67"/>
    <col min="15865" max="15865" width="12.1640625" style="67" customWidth="1"/>
    <col min="15866" max="15866" width="84.83203125" style="67" customWidth="1"/>
    <col min="15867" max="15867" width="12.6640625" style="67" customWidth="1"/>
    <col min="15868" max="15868" width="19" style="67" customWidth="1"/>
    <col min="15869" max="15869" width="17.5" style="67" customWidth="1"/>
    <col min="15870" max="15870" width="22.6640625" style="67" customWidth="1"/>
    <col min="15871" max="15871" width="12.6640625" style="67" customWidth="1"/>
    <col min="15872" max="15872" width="22.6640625" style="67" customWidth="1"/>
    <col min="15873" max="15873" width="12.1640625" style="67" customWidth="1"/>
    <col min="15874" max="15874" width="24.1640625" style="67" customWidth="1"/>
    <col min="15875" max="15875" width="12.1640625" style="67" customWidth="1"/>
    <col min="15876" max="15876" width="25.1640625" style="67" customWidth="1"/>
    <col min="15877" max="15877" width="12.6640625" style="67" customWidth="1"/>
    <col min="15878" max="15878" width="24.1640625" style="67" customWidth="1"/>
    <col min="15879" max="15879" width="13.1640625" style="67" customWidth="1"/>
    <col min="15880" max="15880" width="16.83203125" style="67" customWidth="1"/>
    <col min="15881" max="16120" width="9.33203125" style="67"/>
    <col min="16121" max="16121" width="12.1640625" style="67" customWidth="1"/>
    <col min="16122" max="16122" width="84.83203125" style="67" customWidth="1"/>
    <col min="16123" max="16123" width="12.6640625" style="67" customWidth="1"/>
    <col min="16124" max="16124" width="19" style="67" customWidth="1"/>
    <col min="16125" max="16125" width="17.5" style="67" customWidth="1"/>
    <col min="16126" max="16126" width="22.6640625" style="67" customWidth="1"/>
    <col min="16127" max="16127" width="12.6640625" style="67" customWidth="1"/>
    <col min="16128" max="16128" width="22.6640625" style="67" customWidth="1"/>
    <col min="16129" max="16129" width="12.1640625" style="67" customWidth="1"/>
    <col min="16130" max="16130" width="24.1640625" style="67" customWidth="1"/>
    <col min="16131" max="16131" width="12.1640625" style="67" customWidth="1"/>
    <col min="16132" max="16132" width="25.1640625" style="67" customWidth="1"/>
    <col min="16133" max="16133" width="12.6640625" style="67" customWidth="1"/>
    <col min="16134" max="16134" width="24.1640625" style="67" customWidth="1"/>
    <col min="16135" max="16135" width="13.1640625" style="67" customWidth="1"/>
    <col min="16136" max="16136" width="16.83203125" style="67" customWidth="1"/>
    <col min="16137" max="16384" width="9.33203125" style="67"/>
  </cols>
  <sheetData>
    <row r="1" spans="1:10" ht="15" customHeight="1">
      <c r="A1" s="268" t="s">
        <v>141</v>
      </c>
      <c r="B1" s="269"/>
      <c r="C1" s="269"/>
      <c r="D1" s="269"/>
      <c r="E1" s="269"/>
      <c r="F1" s="269"/>
      <c r="G1" s="269"/>
      <c r="H1" s="269"/>
      <c r="I1" s="269"/>
      <c r="J1" s="269"/>
    </row>
    <row r="2" spans="1:10" ht="15" customHeight="1">
      <c r="A2" s="270"/>
      <c r="B2" s="271"/>
      <c r="C2" s="271"/>
      <c r="D2" s="271"/>
      <c r="E2" s="271"/>
      <c r="F2" s="271"/>
      <c r="G2" s="271"/>
      <c r="H2" s="271"/>
      <c r="I2" s="271"/>
      <c r="J2" s="271"/>
    </row>
    <row r="3" spans="1:10" ht="9.9499999999999993" customHeight="1">
      <c r="A3" s="272"/>
      <c r="B3" s="273"/>
      <c r="C3" s="273"/>
      <c r="D3" s="273"/>
      <c r="E3" s="273"/>
      <c r="F3" s="273"/>
      <c r="G3" s="273"/>
      <c r="H3" s="273"/>
      <c r="I3" s="273"/>
      <c r="J3" s="273"/>
    </row>
    <row r="4" spans="1:10" ht="34.5" customHeight="1">
      <c r="A4" s="274" t="s">
        <v>210</v>
      </c>
      <c r="B4" s="275"/>
      <c r="C4" s="275"/>
      <c r="D4" s="275"/>
      <c r="E4" s="275"/>
      <c r="F4" s="275"/>
      <c r="G4" s="275"/>
      <c r="H4" s="275"/>
      <c r="I4" s="275"/>
      <c r="J4" s="275"/>
    </row>
    <row r="5" spans="1:10" ht="9.9499999999999993" customHeight="1">
      <c r="A5" s="65"/>
      <c r="B5" s="66"/>
      <c r="C5" s="66"/>
      <c r="D5" s="66"/>
      <c r="E5" s="66"/>
      <c r="F5" s="66"/>
      <c r="G5" s="66"/>
      <c r="H5" s="66"/>
      <c r="I5" s="66"/>
      <c r="J5" s="66"/>
    </row>
    <row r="6" spans="1:10" ht="15.75">
      <c r="A6" s="68" t="str">
        <f>ORÇAMENTO!B5</f>
        <v>OBRA: CONSTRUÇÃO DE ESCOLA NO BAIRRO NAÇÕES</v>
      </c>
      <c r="B6" s="69"/>
      <c r="C6" s="69"/>
      <c r="D6" s="69"/>
      <c r="E6" s="69"/>
      <c r="F6" s="69"/>
      <c r="G6" s="69"/>
      <c r="H6" s="69"/>
      <c r="I6" s="69"/>
      <c r="J6" s="69"/>
    </row>
    <row r="7" spans="1:10" ht="15.75">
      <c r="A7" s="259" t="str">
        <f>ORÇAMENTO!B7</f>
        <v>PRAZO DE OBRA: 7 MESES</v>
      </c>
      <c r="B7" s="260"/>
      <c r="C7" s="260"/>
      <c r="D7" s="260"/>
      <c r="E7" s="260"/>
      <c r="F7" s="260"/>
      <c r="G7" s="260"/>
      <c r="H7" s="260"/>
      <c r="I7" s="260"/>
      <c r="J7" s="260"/>
    </row>
    <row r="8" spans="1:10">
      <c r="A8" s="261" t="s">
        <v>1</v>
      </c>
      <c r="B8" s="263" t="s">
        <v>142</v>
      </c>
      <c r="C8" s="263" t="s">
        <v>143</v>
      </c>
      <c r="D8" s="265" t="s">
        <v>144</v>
      </c>
      <c r="E8" s="266" t="s">
        <v>145</v>
      </c>
      <c r="F8" s="267"/>
      <c r="G8" s="267" t="s">
        <v>146</v>
      </c>
      <c r="H8" s="267"/>
      <c r="I8" s="267" t="s">
        <v>147</v>
      </c>
      <c r="J8" s="267"/>
    </row>
    <row r="9" spans="1:10">
      <c r="A9" s="262"/>
      <c r="B9" s="264"/>
      <c r="C9" s="264"/>
      <c r="D9" s="258"/>
      <c r="E9" s="70" t="s">
        <v>7</v>
      </c>
      <c r="F9" s="71" t="s">
        <v>148</v>
      </c>
      <c r="G9" s="71" t="s">
        <v>7</v>
      </c>
      <c r="H9" s="71" t="s">
        <v>148</v>
      </c>
      <c r="I9" s="71" t="s">
        <v>7</v>
      </c>
      <c r="J9" s="71" t="s">
        <v>148</v>
      </c>
    </row>
    <row r="10" spans="1:10">
      <c r="A10" s="72" t="str">
        <f>ORÇAMENTO!B27</f>
        <v>1.0</v>
      </c>
      <c r="B10" s="73" t="str">
        <f>ORÇAMENTO!D27</f>
        <v>SERVIÇOS INICIAIS</v>
      </c>
      <c r="C10" s="74">
        <f>D10/$D$24</f>
        <v>5.8588708137326653E-2</v>
      </c>
      <c r="D10" s="75">
        <f>ORÇAMENTO!I36</f>
        <v>37428.74</v>
      </c>
      <c r="E10" s="76">
        <v>0.96</v>
      </c>
      <c r="F10" s="73">
        <f>(E10*$D10)</f>
        <v>35931.590399999994</v>
      </c>
      <c r="G10" s="76">
        <v>0.02</v>
      </c>
      <c r="H10" s="73">
        <f>(G10*$D10)</f>
        <v>748.57479999999998</v>
      </c>
      <c r="I10" s="76">
        <v>0.02</v>
      </c>
      <c r="J10" s="73">
        <f>(I10*$D10)</f>
        <v>748.57479999999998</v>
      </c>
    </row>
    <row r="11" spans="1:10">
      <c r="A11" s="78" t="str">
        <f>ORÇAMENTO!B38</f>
        <v>3.0</v>
      </c>
      <c r="B11" s="202" t="str">
        <f>ORÇAMENTO!D38</f>
        <v>INFRAESTRUTURA</v>
      </c>
      <c r="C11" s="79">
        <f>D11/$D$24</f>
        <v>6.7396595197411299E-2</v>
      </c>
      <c r="D11" s="80">
        <f>ORÇAMENTO!I49</f>
        <v>43055.56</v>
      </c>
      <c r="E11" s="81">
        <v>1</v>
      </c>
      <c r="F11" s="77">
        <f t="shared" ref="F11:F22" si="0">(E11*$D11)</f>
        <v>43055.56</v>
      </c>
      <c r="G11" s="79"/>
      <c r="H11" s="77">
        <f t="shared" ref="H11:H22" si="1">(G11*$D11)</f>
        <v>0</v>
      </c>
      <c r="I11" s="79"/>
      <c r="J11" s="77">
        <f t="shared" ref="J11:J22" si="2">(I11*$D11)</f>
        <v>0</v>
      </c>
    </row>
    <row r="12" spans="1:10">
      <c r="A12" s="78" t="str">
        <f>ORÇAMENTO!B51</f>
        <v>4.0</v>
      </c>
      <c r="B12" s="202" t="str">
        <f>ORÇAMENTO!D51</f>
        <v>ESTRUTURA</v>
      </c>
      <c r="C12" s="79">
        <f>D12/$D$24</f>
        <v>8.6012527730000107E-2</v>
      </c>
      <c r="D12" s="80">
        <f>ORÇAMENTO!I60</f>
        <v>54948.14</v>
      </c>
      <c r="E12" s="76">
        <v>0.9</v>
      </c>
      <c r="F12" s="77">
        <f t="shared" si="0"/>
        <v>49453.326000000001</v>
      </c>
      <c r="G12" s="76">
        <v>0.1</v>
      </c>
      <c r="H12" s="77">
        <f t="shared" si="1"/>
        <v>5494.8140000000003</v>
      </c>
      <c r="I12" s="76"/>
      <c r="J12" s="77">
        <f t="shared" si="2"/>
        <v>0</v>
      </c>
    </row>
    <row r="13" spans="1:10">
      <c r="A13" s="78" t="str">
        <f>ORÇAMENTO!B62</f>
        <v>5.0</v>
      </c>
      <c r="B13" s="202" t="str">
        <f>ORÇAMENTO!D62</f>
        <v>ALVENARIA</v>
      </c>
      <c r="C13" s="79">
        <f>D13/$D$24</f>
        <v>5.0475691207234122E-2</v>
      </c>
      <c r="D13" s="80">
        <f>ORÇAMENTO!I68</f>
        <v>32245.83</v>
      </c>
      <c r="E13" s="81">
        <v>0.9</v>
      </c>
      <c r="F13" s="77">
        <f t="shared" si="0"/>
        <v>29021.247000000003</v>
      </c>
      <c r="G13" s="79">
        <v>0.1</v>
      </c>
      <c r="H13" s="77">
        <f t="shared" si="1"/>
        <v>3224.5830000000005</v>
      </c>
      <c r="I13" s="79"/>
      <c r="J13" s="77">
        <f t="shared" si="2"/>
        <v>0</v>
      </c>
    </row>
    <row r="14" spans="1:10">
      <c r="A14" s="78" t="str">
        <f>ORÇAMENTO!B70</f>
        <v>6.0</v>
      </c>
      <c r="B14" s="203" t="str">
        <f>ORÇAMENTO!D70</f>
        <v>REVESTIMENTO</v>
      </c>
      <c r="C14" s="79">
        <f>D14/$D$24</f>
        <v>6.1581638435235925E-2</v>
      </c>
      <c r="D14" s="80">
        <f>ORÇAMENTO!I79</f>
        <v>39340.74</v>
      </c>
      <c r="E14" s="81"/>
      <c r="F14" s="77">
        <f t="shared" si="0"/>
        <v>0</v>
      </c>
      <c r="G14" s="79">
        <v>0.9</v>
      </c>
      <c r="H14" s="77">
        <f t="shared" si="1"/>
        <v>35406.665999999997</v>
      </c>
      <c r="I14" s="79">
        <v>0.1</v>
      </c>
      <c r="J14" s="77">
        <f t="shared" si="2"/>
        <v>3934.0740000000001</v>
      </c>
    </row>
    <row r="15" spans="1:10">
      <c r="A15" s="78" t="str">
        <f>ORÇAMENTO!B81</f>
        <v>7.0</v>
      </c>
      <c r="B15" s="203" t="str">
        <f>ORÇAMENTO!D81</f>
        <v>PISO</v>
      </c>
      <c r="C15" s="79">
        <f>D15/$D$24</f>
        <v>0.19995966118526301</v>
      </c>
      <c r="D15" s="80">
        <f>ORÇAMENTO!I92</f>
        <v>127741.99</v>
      </c>
      <c r="E15" s="81"/>
      <c r="F15" s="77">
        <f t="shared" si="0"/>
        <v>0</v>
      </c>
      <c r="G15" s="79">
        <v>0.25</v>
      </c>
      <c r="H15" s="77">
        <f t="shared" si="1"/>
        <v>31935.497500000001</v>
      </c>
      <c r="I15" s="79">
        <v>0.75</v>
      </c>
      <c r="J15" s="77">
        <f t="shared" si="2"/>
        <v>95806.492500000008</v>
      </c>
    </row>
    <row r="16" spans="1:10">
      <c r="A16" s="78" t="str">
        <f>ORÇAMENTO!B94</f>
        <v>8.0</v>
      </c>
      <c r="B16" s="203" t="str">
        <f>ORÇAMENTO!D94</f>
        <v>COBERTURA</v>
      </c>
      <c r="C16" s="79">
        <f>D16/$D$24</f>
        <v>0.26400753993026094</v>
      </c>
      <c r="D16" s="80">
        <f>ORÇAMENTO!I102</f>
        <v>168658.26</v>
      </c>
      <c r="E16" s="81">
        <v>0.33</v>
      </c>
      <c r="F16" s="77">
        <f t="shared" si="0"/>
        <v>55657.225800000007</v>
      </c>
      <c r="G16" s="79">
        <v>0.67</v>
      </c>
      <c r="H16" s="77">
        <f t="shared" si="1"/>
        <v>113001.03420000001</v>
      </c>
      <c r="I16" s="79"/>
      <c r="J16" s="77">
        <f t="shared" si="2"/>
        <v>0</v>
      </c>
    </row>
    <row r="17" spans="1:12">
      <c r="A17" s="78" t="str">
        <f>ORÇAMENTO!B104</f>
        <v>9.0</v>
      </c>
      <c r="B17" s="203" t="str">
        <f>ORÇAMENTO!D104</f>
        <v>ESQUADRIAS</v>
      </c>
      <c r="C17" s="79">
        <f>D17/$D$24</f>
        <v>3.1290867117025452E-2</v>
      </c>
      <c r="D17" s="80">
        <f>ORÇAMENTO!I111</f>
        <v>19989.82</v>
      </c>
      <c r="E17" s="81"/>
      <c r="F17" s="77">
        <f t="shared" si="0"/>
        <v>0</v>
      </c>
      <c r="G17" s="79">
        <v>0.1</v>
      </c>
      <c r="H17" s="77">
        <f t="shared" si="1"/>
        <v>1998.982</v>
      </c>
      <c r="I17" s="79">
        <v>0.9</v>
      </c>
      <c r="J17" s="77">
        <f t="shared" si="2"/>
        <v>17990.838</v>
      </c>
    </row>
    <row r="18" spans="1:12">
      <c r="A18" s="78" t="str">
        <f>ORÇAMENTO!B113</f>
        <v>10.0</v>
      </c>
      <c r="B18" s="203" t="str">
        <f>ORÇAMENTO!D113</f>
        <v>PINTURA</v>
      </c>
      <c r="C18" s="79">
        <f>D18/$D$24</f>
        <v>5.7096187645459227E-2</v>
      </c>
      <c r="D18" s="80">
        <f>ORÇAMENTO!I126</f>
        <v>36475.26</v>
      </c>
      <c r="E18" s="81"/>
      <c r="F18" s="77">
        <f t="shared" si="0"/>
        <v>0</v>
      </c>
      <c r="G18" s="79"/>
      <c r="H18" s="77">
        <f t="shared" si="1"/>
        <v>0</v>
      </c>
      <c r="I18" s="79">
        <v>1</v>
      </c>
      <c r="J18" s="77">
        <f t="shared" si="2"/>
        <v>36475.26</v>
      </c>
    </row>
    <row r="19" spans="1:12">
      <c r="A19" s="78" t="str">
        <f>ORÇAMENTO!B128</f>
        <v>11.0</v>
      </c>
      <c r="B19" s="203" t="str">
        <f>ORÇAMENTO!D128</f>
        <v>DIVERSOS</v>
      </c>
      <c r="C19" s="79">
        <f>D19/$D$24</f>
        <v>2.8299815227252945E-2</v>
      </c>
      <c r="D19" s="80">
        <f>ORÇAMENTO!I138</f>
        <v>18079.02</v>
      </c>
      <c r="E19" s="81"/>
      <c r="F19" s="77">
        <f t="shared" si="0"/>
        <v>0</v>
      </c>
      <c r="G19" s="79"/>
      <c r="H19" s="77">
        <f t="shared" si="1"/>
        <v>0</v>
      </c>
      <c r="I19" s="79">
        <v>1</v>
      </c>
      <c r="J19" s="77">
        <f t="shared" si="2"/>
        <v>18079.02</v>
      </c>
    </row>
    <row r="20" spans="1:12">
      <c r="A20" s="78" t="str">
        <f>ORÇAMENTO!B140</f>
        <v>12.0</v>
      </c>
      <c r="B20" s="203" t="str">
        <f>ORÇAMENTO!D140</f>
        <v>INSTALAÇÕES HIDROSSANITÁRIAS</v>
      </c>
      <c r="C20" s="79">
        <f>D20/$D$24</f>
        <v>4.251861345929521E-2</v>
      </c>
      <c r="D20" s="80">
        <f>ORÇAMENTO!I230</f>
        <v>27162.54</v>
      </c>
      <c r="E20" s="81"/>
      <c r="F20" s="77">
        <f t="shared" si="0"/>
        <v>0</v>
      </c>
      <c r="G20" s="79">
        <v>0.7</v>
      </c>
      <c r="H20" s="77">
        <f t="shared" si="1"/>
        <v>19013.777999999998</v>
      </c>
      <c r="I20" s="79">
        <v>0.3</v>
      </c>
      <c r="J20" s="77">
        <f t="shared" si="2"/>
        <v>8148.7619999999997</v>
      </c>
    </row>
    <row r="21" spans="1:12">
      <c r="A21" s="78" t="str">
        <f>ORÇAMENTO!B232</f>
        <v>13.0</v>
      </c>
      <c r="B21" s="203" t="str">
        <f>ORÇAMENTO!D232</f>
        <v>INSTALAÇÕES ELÉTRICAS</v>
      </c>
      <c r="C21" s="79">
        <f>D21/$D$24</f>
        <v>4.4076142526095784E-2</v>
      </c>
      <c r="D21" s="80">
        <f>ORÇAMENTO!I264</f>
        <v>28157.55</v>
      </c>
      <c r="E21" s="81">
        <v>0.1</v>
      </c>
      <c r="F21" s="77">
        <f t="shared" si="0"/>
        <v>2815.7550000000001</v>
      </c>
      <c r="G21" s="79">
        <v>0.1</v>
      </c>
      <c r="H21" s="77">
        <f t="shared" si="1"/>
        <v>2815.7550000000001</v>
      </c>
      <c r="I21" s="79">
        <v>0.8</v>
      </c>
      <c r="J21" s="77">
        <f t="shared" si="2"/>
        <v>22526.04</v>
      </c>
    </row>
    <row r="22" spans="1:12">
      <c r="A22" s="78" t="str">
        <f>ORÇAMENTO!B266</f>
        <v>14.0</v>
      </c>
      <c r="B22" s="82" t="str">
        <f>ORÇAMENTO!D266</f>
        <v>INSTALAÇÕES DE COMBATE A INCÊNDIO</v>
      </c>
      <c r="C22" s="79">
        <f>D22/$D$24</f>
        <v>1.9802961247813999E-3</v>
      </c>
      <c r="D22" s="80">
        <f>ORÇAMENTO!I276</f>
        <v>1265.0899999999999</v>
      </c>
      <c r="E22" s="81"/>
      <c r="F22" s="77">
        <f t="shared" si="0"/>
        <v>0</v>
      </c>
      <c r="G22" s="79"/>
      <c r="H22" s="77">
        <f t="shared" si="1"/>
        <v>0</v>
      </c>
      <c r="I22" s="79">
        <v>1</v>
      </c>
      <c r="J22" s="77">
        <f t="shared" si="2"/>
        <v>1265.0899999999999</v>
      </c>
    </row>
    <row r="23" spans="1:12">
      <c r="A23" s="78" t="str">
        <f>ORÇAMENTO!B278</f>
        <v>15.0</v>
      </c>
      <c r="B23" s="82" t="str">
        <f>ORÇAMENTO!D278</f>
        <v>SERVIÇOS FINAIS</v>
      </c>
      <c r="C23" s="79">
        <f>D23/$D$24</f>
        <v>6.7157160773578563E-3</v>
      </c>
      <c r="D23" s="80">
        <f>ORÇAMENTO!I281</f>
        <v>4290.26</v>
      </c>
      <c r="E23" s="81"/>
      <c r="F23" s="77">
        <f t="shared" ref="F23" si="3">(E23*$D23)</f>
        <v>0</v>
      </c>
      <c r="G23" s="79"/>
      <c r="H23" s="77">
        <f t="shared" ref="H23" si="4">(G23*$D23)</f>
        <v>0</v>
      </c>
      <c r="I23" s="79">
        <v>1</v>
      </c>
      <c r="J23" s="77">
        <f t="shared" ref="J23" si="5">(I23*$D23)</f>
        <v>4290.26</v>
      </c>
    </row>
    <row r="24" spans="1:12" s="85" customFormat="1" ht="14.25">
      <c r="A24" s="276" t="s">
        <v>149</v>
      </c>
      <c r="B24" s="266"/>
      <c r="C24" s="254">
        <f>SUM(C10:C23)</f>
        <v>1</v>
      </c>
      <c r="D24" s="256">
        <f>ROUND(SUM(D10:D23),2)</f>
        <v>638838.80000000005</v>
      </c>
      <c r="E24" s="86">
        <f>F24/$D$24</f>
        <v>0.33801125448235142</v>
      </c>
      <c r="F24" s="84">
        <f>SUM(F10:F23)</f>
        <v>215934.70420000001</v>
      </c>
      <c r="G24" s="83">
        <f>H24/$D$24</f>
        <v>0.33441876808359167</v>
      </c>
      <c r="H24" s="84">
        <f>SUM(H10:H23)</f>
        <v>213639.6845</v>
      </c>
      <c r="I24" s="83">
        <f>J24/$D$24</f>
        <v>0.32756997743405691</v>
      </c>
      <c r="J24" s="84">
        <f>SUM(J10:J23)</f>
        <v>209264.41130000001</v>
      </c>
    </row>
    <row r="25" spans="1:12" s="85" customFormat="1" ht="14.25">
      <c r="A25" s="276" t="s">
        <v>150</v>
      </c>
      <c r="B25" s="266"/>
      <c r="C25" s="255"/>
      <c r="D25" s="257"/>
      <c r="E25" s="86">
        <f>E24</f>
        <v>0.33801125448235142</v>
      </c>
      <c r="F25" s="84">
        <f>F24</f>
        <v>215934.70420000001</v>
      </c>
      <c r="G25" s="83">
        <f>G24+E25</f>
        <v>0.67243002256594309</v>
      </c>
      <c r="H25" s="84">
        <f>(H24+F25)</f>
        <v>429574.38870000001</v>
      </c>
      <c r="I25" s="83">
        <f>I24+G25</f>
        <v>1</v>
      </c>
      <c r="J25" s="84">
        <f>(J24+H25)</f>
        <v>638838.80000000005</v>
      </c>
    </row>
    <row r="26" spans="1:12" s="85" customFormat="1" ht="9.9499999999999993" customHeight="1" thickBot="1">
      <c r="A26" s="277"/>
      <c r="B26" s="279"/>
      <c r="C26" s="279"/>
      <c r="D26" s="279"/>
      <c r="E26" s="279"/>
      <c r="F26" s="279"/>
      <c r="G26" s="279"/>
      <c r="H26" s="279"/>
      <c r="I26" s="279"/>
      <c r="J26" s="279"/>
    </row>
    <row r="27" spans="1:12" ht="15" hidden="1" customHeight="1">
      <c r="A27" s="261" t="s">
        <v>1</v>
      </c>
      <c r="B27" s="263" t="s">
        <v>142</v>
      </c>
      <c r="C27" s="263" t="s">
        <v>143</v>
      </c>
      <c r="D27" s="265" t="s">
        <v>144</v>
      </c>
      <c r="E27" s="266" t="s">
        <v>152</v>
      </c>
      <c r="F27" s="267"/>
      <c r="G27" s="266" t="s">
        <v>151</v>
      </c>
      <c r="H27" s="267"/>
      <c r="I27" s="266" t="s">
        <v>153</v>
      </c>
      <c r="J27" s="267"/>
    </row>
    <row r="28" spans="1:12" hidden="1">
      <c r="A28" s="262"/>
      <c r="B28" s="264"/>
      <c r="C28" s="264"/>
      <c r="D28" s="258"/>
      <c r="E28" s="70" t="s">
        <v>7</v>
      </c>
      <c r="F28" s="71" t="s">
        <v>148</v>
      </c>
      <c r="G28" s="71" t="s">
        <v>7</v>
      </c>
      <c r="H28" s="71" t="s">
        <v>148</v>
      </c>
      <c r="I28" s="71" t="s">
        <v>7</v>
      </c>
      <c r="J28" s="71" t="s">
        <v>148</v>
      </c>
    </row>
    <row r="29" spans="1:12" hidden="1">
      <c r="A29" s="72" t="str">
        <f>A10</f>
        <v>1.0</v>
      </c>
      <c r="B29" s="73" t="str">
        <f>B10</f>
        <v>SERVIÇOS INICIAIS</v>
      </c>
      <c r="C29" s="74">
        <f>C10</f>
        <v>5.8588708137326653E-2</v>
      </c>
      <c r="D29" s="75">
        <f>D10</f>
        <v>37428.74</v>
      </c>
      <c r="E29" s="76"/>
      <c r="F29" s="73">
        <f>(E29*$D29)</f>
        <v>0</v>
      </c>
      <c r="G29" s="76"/>
      <c r="H29" s="73">
        <f>(G29*$D29)</f>
        <v>0</v>
      </c>
      <c r="I29" s="76"/>
      <c r="J29" s="73">
        <f>(I29*$D29)</f>
        <v>0</v>
      </c>
      <c r="K29" s="87" t="e">
        <f>E10+G10+I10+#REF!+#REF!+#REF!+#REF!+#REF!+#REF!+#REF!+#REF!+#REF!+E29+G29+I29+#REF!+#REF!+#REF!</f>
        <v>#REF!</v>
      </c>
      <c r="L29" s="192"/>
    </row>
    <row r="30" spans="1:12" hidden="1">
      <c r="A30" s="72" t="e">
        <f>#REF!</f>
        <v>#REF!</v>
      </c>
      <c r="B30" s="73" t="e">
        <f>#REF!</f>
        <v>#REF!</v>
      </c>
      <c r="C30" s="74" t="e">
        <f>#REF!</f>
        <v>#REF!</v>
      </c>
      <c r="D30" s="75" t="e">
        <f>#REF!</f>
        <v>#REF!</v>
      </c>
      <c r="E30" s="76"/>
      <c r="F30" s="73" t="e">
        <f>(E30*$D30)</f>
        <v>#REF!</v>
      </c>
      <c r="G30" s="76"/>
      <c r="H30" s="77" t="e">
        <f t="shared" ref="H30:H42" si="6">(G30*$D30)</f>
        <v>#REF!</v>
      </c>
      <c r="I30" s="76"/>
      <c r="J30" s="77" t="e">
        <f t="shared" ref="J30:J42" si="7">(I30*$D30)</f>
        <v>#REF!</v>
      </c>
      <c r="K30" s="87" t="e">
        <f>#REF!+#REF!+#REF!+#REF!+#REF!+#REF!+#REF!+#REF!+#REF!+#REF!+#REF!+#REF!+E30+G30+I30+#REF!+#REF!+#REF!</f>
        <v>#REF!</v>
      </c>
      <c r="L30" s="192"/>
    </row>
    <row r="31" spans="1:12" hidden="1">
      <c r="A31" s="72" t="str">
        <f t="shared" ref="A31:D43" si="8">A11</f>
        <v>3.0</v>
      </c>
      <c r="B31" s="73" t="str">
        <f t="shared" si="8"/>
        <v>INFRAESTRUTURA</v>
      </c>
      <c r="C31" s="74">
        <f t="shared" si="8"/>
        <v>6.7396595197411299E-2</v>
      </c>
      <c r="D31" s="75">
        <f t="shared" si="8"/>
        <v>43055.56</v>
      </c>
      <c r="E31" s="81"/>
      <c r="F31" s="77">
        <f t="shared" ref="F31:F42" si="9">(E31*$D31)</f>
        <v>0</v>
      </c>
      <c r="G31" s="79"/>
      <c r="H31" s="77">
        <f t="shared" si="6"/>
        <v>0</v>
      </c>
      <c r="I31" s="79"/>
      <c r="J31" s="77">
        <f t="shared" si="7"/>
        <v>0</v>
      </c>
      <c r="K31" s="87" t="e">
        <f>E11+G11+I11+#REF!+#REF!+#REF!+#REF!+#REF!+#REF!+#REF!+#REF!+#REF!+E31+G31+I31+#REF!+#REF!+#REF!</f>
        <v>#REF!</v>
      </c>
      <c r="L31" s="192"/>
    </row>
    <row r="32" spans="1:12" hidden="1">
      <c r="A32" s="72" t="str">
        <f t="shared" si="8"/>
        <v>4.0</v>
      </c>
      <c r="B32" s="73" t="str">
        <f t="shared" si="8"/>
        <v>ESTRUTURA</v>
      </c>
      <c r="C32" s="74">
        <f t="shared" si="8"/>
        <v>8.6012527730000107E-2</v>
      </c>
      <c r="D32" s="75">
        <f t="shared" si="8"/>
        <v>54948.14</v>
      </c>
      <c r="E32" s="76"/>
      <c r="F32" s="77">
        <f t="shared" si="9"/>
        <v>0</v>
      </c>
      <c r="G32" s="76"/>
      <c r="H32" s="77">
        <f t="shared" si="6"/>
        <v>0</v>
      </c>
      <c r="I32" s="76"/>
      <c r="J32" s="77">
        <f t="shared" si="7"/>
        <v>0</v>
      </c>
      <c r="K32" s="87" t="e">
        <f>E12+G12+I12+#REF!+#REF!+#REF!+#REF!+#REF!+#REF!+#REF!+#REF!+#REF!+E32+G32+I32+#REF!+#REF!+#REF!</f>
        <v>#REF!</v>
      </c>
      <c r="L32" s="192"/>
    </row>
    <row r="33" spans="1:12" hidden="1">
      <c r="A33" s="72" t="str">
        <f t="shared" si="8"/>
        <v>5.0</v>
      </c>
      <c r="B33" s="73" t="str">
        <f t="shared" si="8"/>
        <v>ALVENARIA</v>
      </c>
      <c r="C33" s="74">
        <f t="shared" si="8"/>
        <v>5.0475691207234122E-2</v>
      </c>
      <c r="D33" s="75">
        <f t="shared" si="8"/>
        <v>32245.83</v>
      </c>
      <c r="E33" s="81"/>
      <c r="F33" s="77">
        <f t="shared" si="9"/>
        <v>0</v>
      </c>
      <c r="G33" s="79"/>
      <c r="H33" s="77">
        <f t="shared" si="6"/>
        <v>0</v>
      </c>
      <c r="I33" s="79"/>
      <c r="J33" s="77">
        <f t="shared" si="7"/>
        <v>0</v>
      </c>
      <c r="K33" s="87" t="e">
        <f>E13+G13+I13+#REF!+#REF!+#REF!+#REF!+#REF!+#REF!+#REF!+#REF!+#REF!+E33+G33+I33+#REF!+#REF!+#REF!</f>
        <v>#REF!</v>
      </c>
      <c r="L33" s="192"/>
    </row>
    <row r="34" spans="1:12" hidden="1">
      <c r="A34" s="72" t="str">
        <f t="shared" si="8"/>
        <v>6.0</v>
      </c>
      <c r="B34" s="73" t="str">
        <f t="shared" si="8"/>
        <v>REVESTIMENTO</v>
      </c>
      <c r="C34" s="74">
        <f t="shared" si="8"/>
        <v>6.1581638435235925E-2</v>
      </c>
      <c r="D34" s="75">
        <f t="shared" si="8"/>
        <v>39340.74</v>
      </c>
      <c r="E34" s="81"/>
      <c r="F34" s="77">
        <f t="shared" si="9"/>
        <v>0</v>
      </c>
      <c r="G34" s="79"/>
      <c r="H34" s="77">
        <f t="shared" si="6"/>
        <v>0</v>
      </c>
      <c r="I34" s="79"/>
      <c r="J34" s="77">
        <f t="shared" si="7"/>
        <v>0</v>
      </c>
      <c r="K34" s="87" t="e">
        <f>E14+G14+I14+#REF!+#REF!+#REF!+#REF!+#REF!+#REF!+#REF!+#REF!+#REF!+E34+G34+I34+#REF!+#REF!+#REF!</f>
        <v>#REF!</v>
      </c>
      <c r="L34" s="192"/>
    </row>
    <row r="35" spans="1:12" hidden="1">
      <c r="A35" s="72" t="str">
        <f t="shared" si="8"/>
        <v>7.0</v>
      </c>
      <c r="B35" s="73" t="str">
        <f t="shared" si="8"/>
        <v>PISO</v>
      </c>
      <c r="C35" s="74">
        <f t="shared" si="8"/>
        <v>0.19995966118526301</v>
      </c>
      <c r="D35" s="75">
        <f t="shared" si="8"/>
        <v>127741.99</v>
      </c>
      <c r="E35" s="81"/>
      <c r="F35" s="77">
        <f t="shared" si="9"/>
        <v>0</v>
      </c>
      <c r="G35" s="79"/>
      <c r="H35" s="77">
        <f t="shared" si="6"/>
        <v>0</v>
      </c>
      <c r="I35" s="79"/>
      <c r="J35" s="77">
        <f t="shared" si="7"/>
        <v>0</v>
      </c>
      <c r="K35" s="87" t="e">
        <f>E15+G15+I15+#REF!+#REF!+#REF!+#REF!+#REF!+#REF!+#REF!+#REF!+#REF!+E35+G35+I35+#REF!+#REF!+#REF!</f>
        <v>#REF!</v>
      </c>
      <c r="L35" s="192"/>
    </row>
    <row r="36" spans="1:12" hidden="1">
      <c r="A36" s="72" t="str">
        <f t="shared" si="8"/>
        <v>8.0</v>
      </c>
      <c r="B36" s="73" t="str">
        <f t="shared" si="8"/>
        <v>COBERTURA</v>
      </c>
      <c r="C36" s="74">
        <f t="shared" si="8"/>
        <v>0.26400753993026094</v>
      </c>
      <c r="D36" s="75">
        <f t="shared" si="8"/>
        <v>168658.26</v>
      </c>
      <c r="E36" s="81"/>
      <c r="F36" s="77">
        <f t="shared" si="9"/>
        <v>0</v>
      </c>
      <c r="G36" s="79"/>
      <c r="H36" s="77">
        <f t="shared" si="6"/>
        <v>0</v>
      </c>
      <c r="I36" s="79"/>
      <c r="J36" s="77">
        <f t="shared" si="7"/>
        <v>0</v>
      </c>
      <c r="K36" s="87" t="e">
        <f>E16+G16+I16+#REF!+#REF!+#REF!+#REF!+#REF!+#REF!+#REF!+#REF!+#REF!+E36+G36+I36+#REF!+#REF!+#REF!</f>
        <v>#REF!</v>
      </c>
      <c r="L36" s="192"/>
    </row>
    <row r="37" spans="1:12" hidden="1">
      <c r="A37" s="72" t="str">
        <f t="shared" si="8"/>
        <v>9.0</v>
      </c>
      <c r="B37" s="73" t="str">
        <f t="shared" si="8"/>
        <v>ESQUADRIAS</v>
      </c>
      <c r="C37" s="74">
        <f t="shared" si="8"/>
        <v>3.1290867117025452E-2</v>
      </c>
      <c r="D37" s="75">
        <f t="shared" si="8"/>
        <v>19989.82</v>
      </c>
      <c r="E37" s="81"/>
      <c r="F37" s="77">
        <f t="shared" si="9"/>
        <v>0</v>
      </c>
      <c r="G37" s="79"/>
      <c r="H37" s="77">
        <f t="shared" si="6"/>
        <v>0</v>
      </c>
      <c r="I37" s="79"/>
      <c r="J37" s="77">
        <f t="shared" si="7"/>
        <v>0</v>
      </c>
      <c r="K37" s="87" t="e">
        <f>E17+G17+I17+#REF!+#REF!+#REF!+#REF!+#REF!+#REF!+#REF!+#REF!+#REF!+E37+G37+I37+#REF!+#REF!+#REF!</f>
        <v>#REF!</v>
      </c>
      <c r="L37" s="192"/>
    </row>
    <row r="38" spans="1:12" hidden="1">
      <c r="A38" s="72" t="str">
        <f t="shared" si="8"/>
        <v>10.0</v>
      </c>
      <c r="B38" s="73" t="str">
        <f t="shared" si="8"/>
        <v>PINTURA</v>
      </c>
      <c r="C38" s="74">
        <f t="shared" si="8"/>
        <v>5.7096187645459227E-2</v>
      </c>
      <c r="D38" s="75">
        <f t="shared" si="8"/>
        <v>36475.26</v>
      </c>
      <c r="E38" s="81"/>
      <c r="F38" s="77">
        <f t="shared" si="9"/>
        <v>0</v>
      </c>
      <c r="G38" s="79"/>
      <c r="H38" s="77">
        <f t="shared" si="6"/>
        <v>0</v>
      </c>
      <c r="I38" s="79"/>
      <c r="J38" s="77">
        <f t="shared" si="7"/>
        <v>0</v>
      </c>
      <c r="K38" s="87" t="e">
        <f>E18+G18+I18+#REF!+#REF!+#REF!+#REF!+#REF!+#REF!+#REF!+#REF!+#REF!+E38+G38+I38+#REF!+#REF!+#REF!</f>
        <v>#REF!</v>
      </c>
      <c r="L38" s="192"/>
    </row>
    <row r="39" spans="1:12" hidden="1">
      <c r="A39" s="72" t="str">
        <f t="shared" si="8"/>
        <v>11.0</v>
      </c>
      <c r="B39" s="73" t="str">
        <f t="shared" si="8"/>
        <v>DIVERSOS</v>
      </c>
      <c r="C39" s="74">
        <f t="shared" si="8"/>
        <v>2.8299815227252945E-2</v>
      </c>
      <c r="D39" s="75">
        <f t="shared" si="8"/>
        <v>18079.02</v>
      </c>
      <c r="E39" s="81"/>
      <c r="F39" s="77">
        <f t="shared" si="9"/>
        <v>0</v>
      </c>
      <c r="G39" s="79"/>
      <c r="H39" s="77">
        <f t="shared" si="6"/>
        <v>0</v>
      </c>
      <c r="I39" s="79"/>
      <c r="J39" s="77">
        <f t="shared" si="7"/>
        <v>0</v>
      </c>
      <c r="K39" s="87" t="e">
        <f>E19+G19+I19+#REF!+#REF!+#REF!+#REF!+#REF!+#REF!+#REF!+#REF!+#REF!+E39+G39+I39+#REF!+#REF!+#REF!</f>
        <v>#REF!</v>
      </c>
      <c r="L39" s="192"/>
    </row>
    <row r="40" spans="1:12" hidden="1">
      <c r="A40" s="72" t="str">
        <f t="shared" si="8"/>
        <v>12.0</v>
      </c>
      <c r="B40" s="73" t="str">
        <f t="shared" si="8"/>
        <v>INSTALAÇÕES HIDROSSANITÁRIAS</v>
      </c>
      <c r="C40" s="74">
        <f t="shared" si="8"/>
        <v>4.251861345929521E-2</v>
      </c>
      <c r="D40" s="75">
        <f t="shared" si="8"/>
        <v>27162.54</v>
      </c>
      <c r="E40" s="81"/>
      <c r="F40" s="77">
        <f t="shared" si="9"/>
        <v>0</v>
      </c>
      <c r="G40" s="79"/>
      <c r="H40" s="77">
        <f t="shared" si="6"/>
        <v>0</v>
      </c>
      <c r="I40" s="79"/>
      <c r="J40" s="77">
        <f t="shared" si="7"/>
        <v>0</v>
      </c>
      <c r="K40" s="87" t="e">
        <f>E20+G20+I20+#REF!+#REF!+#REF!+#REF!+#REF!+#REF!+#REF!+#REF!+#REF!+E40+G40+I40+#REF!+#REF!+#REF!</f>
        <v>#REF!</v>
      </c>
      <c r="L40" s="192"/>
    </row>
    <row r="41" spans="1:12" hidden="1">
      <c r="A41" s="72" t="str">
        <f t="shared" si="8"/>
        <v>13.0</v>
      </c>
      <c r="B41" s="73" t="str">
        <f t="shared" si="8"/>
        <v>INSTALAÇÕES ELÉTRICAS</v>
      </c>
      <c r="C41" s="74">
        <f t="shared" si="8"/>
        <v>4.4076142526095784E-2</v>
      </c>
      <c r="D41" s="75">
        <f t="shared" si="8"/>
        <v>28157.55</v>
      </c>
      <c r="E41" s="81"/>
      <c r="F41" s="77">
        <f t="shared" si="9"/>
        <v>0</v>
      </c>
      <c r="G41" s="79"/>
      <c r="H41" s="77">
        <f t="shared" si="6"/>
        <v>0</v>
      </c>
      <c r="I41" s="79"/>
      <c r="J41" s="77">
        <f t="shared" si="7"/>
        <v>0</v>
      </c>
      <c r="K41" s="87" t="e">
        <f>E21+G21+I21+#REF!+#REF!+#REF!+#REF!+#REF!+#REF!+#REF!+#REF!+#REF!+E41+G41+I41+#REF!+#REF!+#REF!</f>
        <v>#REF!</v>
      </c>
      <c r="L41" s="192"/>
    </row>
    <row r="42" spans="1:12" hidden="1">
      <c r="A42" s="72" t="str">
        <f t="shared" si="8"/>
        <v>14.0</v>
      </c>
      <c r="B42" s="73" t="str">
        <f t="shared" si="8"/>
        <v>INSTALAÇÕES DE COMBATE A INCÊNDIO</v>
      </c>
      <c r="C42" s="74">
        <f t="shared" si="8"/>
        <v>1.9802961247813999E-3</v>
      </c>
      <c r="D42" s="75">
        <f t="shared" si="8"/>
        <v>1265.0899999999999</v>
      </c>
      <c r="E42" s="81"/>
      <c r="F42" s="77">
        <f t="shared" si="9"/>
        <v>0</v>
      </c>
      <c r="G42" s="79"/>
      <c r="H42" s="77">
        <f t="shared" si="6"/>
        <v>0</v>
      </c>
      <c r="I42" s="79"/>
      <c r="J42" s="77">
        <f t="shared" si="7"/>
        <v>0</v>
      </c>
      <c r="K42" s="87" t="e">
        <f>E22+G22+I22+#REF!+#REF!+#REF!+#REF!+#REF!+#REF!+#REF!+#REF!+#REF!+E42+G42+I42+#REF!+#REF!+#REF!</f>
        <v>#REF!</v>
      </c>
      <c r="L42" s="192"/>
    </row>
    <row r="43" spans="1:12" hidden="1">
      <c r="A43" s="72" t="str">
        <f t="shared" si="8"/>
        <v>15.0</v>
      </c>
      <c r="B43" s="73" t="str">
        <f t="shared" si="8"/>
        <v>SERVIÇOS FINAIS</v>
      </c>
      <c r="C43" s="74">
        <f t="shared" si="8"/>
        <v>6.7157160773578563E-3</v>
      </c>
      <c r="D43" s="75">
        <f t="shared" si="8"/>
        <v>4290.26</v>
      </c>
      <c r="E43" s="81"/>
      <c r="F43" s="77">
        <f t="shared" ref="F43" si="10">(E43*$D43)</f>
        <v>0</v>
      </c>
      <c r="G43" s="79"/>
      <c r="H43" s="77">
        <f t="shared" ref="H43" si="11">(G43*$D43)</f>
        <v>0</v>
      </c>
      <c r="I43" s="79"/>
      <c r="J43" s="77">
        <f t="shared" ref="J43" si="12">(I43*$D43)</f>
        <v>0</v>
      </c>
      <c r="K43" s="87" t="e">
        <f>E23+G23+I23+#REF!+#REF!+#REF!+#REF!+#REF!+#REF!+#REF!+#REF!+#REF!+E43+G43+I43+#REF!+#REF!+#REF!</f>
        <v>#REF!</v>
      </c>
      <c r="L43" s="192"/>
    </row>
    <row r="44" spans="1:12" hidden="1">
      <c r="A44" s="276" t="s">
        <v>149</v>
      </c>
      <c r="B44" s="266"/>
      <c r="C44" s="254" t="e">
        <f>SUM(C29:C43)</f>
        <v>#REF!</v>
      </c>
      <c r="D44" s="256" t="e">
        <f>ROUND(SUM(D29:D43),2)</f>
        <v>#REF!</v>
      </c>
      <c r="E44" s="86" t="e">
        <f>F44/$D$24</f>
        <v>#REF!</v>
      </c>
      <c r="F44" s="84" t="e">
        <f>SUM(F29:F43)</f>
        <v>#REF!</v>
      </c>
      <c r="G44" s="83" t="e">
        <f>H44/$D$24</f>
        <v>#REF!</v>
      </c>
      <c r="H44" s="84" t="e">
        <f>SUM(H29:H43)</f>
        <v>#REF!</v>
      </c>
      <c r="I44" s="83" t="e">
        <f>J44/$D$24</f>
        <v>#REF!</v>
      </c>
      <c r="J44" s="84" t="e">
        <f>SUM(J29:J43)</f>
        <v>#REF!</v>
      </c>
      <c r="K44" s="87"/>
      <c r="L44" s="87"/>
    </row>
    <row r="45" spans="1:12" ht="15.75" hidden="1" thickBot="1">
      <c r="A45" s="277" t="s">
        <v>150</v>
      </c>
      <c r="B45" s="278"/>
      <c r="C45" s="255"/>
      <c r="D45" s="257"/>
      <c r="E45" s="89" t="e">
        <f>E44+#REF!</f>
        <v>#REF!</v>
      </c>
      <c r="F45" s="90" t="e">
        <f>F44+#REF!</f>
        <v>#REF!</v>
      </c>
      <c r="G45" s="88" t="e">
        <f t="shared" ref="G45:J45" si="13">G44+E45</f>
        <v>#REF!</v>
      </c>
      <c r="H45" s="90" t="e">
        <f t="shared" si="13"/>
        <v>#REF!</v>
      </c>
      <c r="I45" s="88" t="e">
        <f t="shared" si="13"/>
        <v>#REF!</v>
      </c>
      <c r="J45" s="90" t="e">
        <f t="shared" si="13"/>
        <v>#REF!</v>
      </c>
    </row>
    <row r="47" spans="1:12">
      <c r="D47" s="92"/>
    </row>
    <row r="48" spans="1:12">
      <c r="D48" s="92"/>
    </row>
  </sheetData>
  <mergeCells count="27">
    <mergeCell ref="A44:B44"/>
    <mergeCell ref="A45:B45"/>
    <mergeCell ref="A26:J26"/>
    <mergeCell ref="A27:A28"/>
    <mergeCell ref="B27:B28"/>
    <mergeCell ref="C27:C28"/>
    <mergeCell ref="D27:D28"/>
    <mergeCell ref="E27:F27"/>
    <mergeCell ref="G27:H27"/>
    <mergeCell ref="I27:J27"/>
    <mergeCell ref="A1:J2"/>
    <mergeCell ref="A3:J3"/>
    <mergeCell ref="A4:J4"/>
    <mergeCell ref="A24:B24"/>
    <mergeCell ref="A25:B25"/>
    <mergeCell ref="A7:J7"/>
    <mergeCell ref="A8:A9"/>
    <mergeCell ref="B8:B9"/>
    <mergeCell ref="C8:C9"/>
    <mergeCell ref="D8:D9"/>
    <mergeCell ref="E8:F8"/>
    <mergeCell ref="G8:H8"/>
    <mergeCell ref="I8:J8"/>
    <mergeCell ref="C24:C25"/>
    <mergeCell ref="D24:D25"/>
    <mergeCell ref="C44:C45"/>
    <mergeCell ref="D44:D45"/>
  </mergeCells>
  <printOptions horizontalCentered="1"/>
  <pageMargins left="0.19685039370078741" right="0.19685039370078741" top="0.39370078740157483" bottom="0.19685039370078741" header="0.11811023622047245" footer="0.11811023622047245"/>
  <pageSetup paperSize="9" scale="40" orientation="landscape" r:id="rId1"/>
  <headerFooter>
    <oddFooter>Página 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26FA3A"/>
  </sheetPr>
  <dimension ref="A1:L75"/>
  <sheetViews>
    <sheetView view="pageBreakPreview" topLeftCell="A25" zoomScaleSheetLayoutView="100" workbookViewId="0">
      <selection activeCell="H27" sqref="H27"/>
    </sheetView>
  </sheetViews>
  <sheetFormatPr defaultRowHeight="15.75"/>
  <cols>
    <col min="1" max="1" width="8.83203125" style="168" customWidth="1"/>
    <col min="2" max="2" width="19.83203125" style="169" customWidth="1"/>
    <col min="3" max="3" width="80.83203125" style="168" customWidth="1"/>
    <col min="4" max="4" width="8.83203125" style="168" customWidth="1"/>
    <col min="5" max="6" width="15.83203125" style="168" customWidth="1"/>
    <col min="7" max="7" width="15.83203125" style="170" customWidth="1"/>
    <col min="8" max="8" width="35.33203125" style="171" customWidth="1"/>
    <col min="9" max="9" width="30.1640625" style="168" customWidth="1"/>
    <col min="10" max="10" width="10.1640625" style="168" customWidth="1"/>
    <col min="11" max="11" width="13.6640625" style="168" bestFit="1" customWidth="1"/>
    <col min="12" max="12" width="50" style="168" customWidth="1"/>
    <col min="13" max="256" width="9.33203125" style="168"/>
    <col min="257" max="257" width="7.83203125" style="168" customWidth="1"/>
    <col min="258" max="258" width="65" style="168" customWidth="1"/>
    <col min="259" max="259" width="9" style="168" customWidth="1"/>
    <col min="260" max="260" width="14.83203125" style="168" customWidth="1"/>
    <col min="261" max="261" width="13.6640625" style="168" customWidth="1"/>
    <col min="262" max="262" width="12.5" style="168" customWidth="1"/>
    <col min="263" max="263" width="21" style="168" bestFit="1" customWidth="1"/>
    <col min="264" max="264" width="35.33203125" style="168" customWidth="1"/>
    <col min="265" max="265" width="19.5" style="168" customWidth="1"/>
    <col min="266" max="266" width="10.1640625" style="168" customWidth="1"/>
    <col min="267" max="512" width="9.33203125" style="168"/>
    <col min="513" max="513" width="7.83203125" style="168" customWidth="1"/>
    <col min="514" max="514" width="65" style="168" customWidth="1"/>
    <col min="515" max="515" width="9" style="168" customWidth="1"/>
    <col min="516" max="516" width="14.83203125" style="168" customWidth="1"/>
    <col min="517" max="517" width="13.6640625" style="168" customWidth="1"/>
    <col min="518" max="518" width="12.5" style="168" customWidth="1"/>
    <col min="519" max="519" width="21" style="168" bestFit="1" customWidth="1"/>
    <col min="520" max="520" width="35.33203125" style="168" customWidth="1"/>
    <col min="521" max="521" width="19.5" style="168" customWidth="1"/>
    <col min="522" max="522" width="10.1640625" style="168" customWidth="1"/>
    <col min="523" max="768" width="9.33203125" style="168"/>
    <col min="769" max="769" width="7.83203125" style="168" customWidth="1"/>
    <col min="770" max="770" width="65" style="168" customWidth="1"/>
    <col min="771" max="771" width="9" style="168" customWidth="1"/>
    <col min="772" max="772" width="14.83203125" style="168" customWidth="1"/>
    <col min="773" max="773" width="13.6640625" style="168" customWidth="1"/>
    <col min="774" max="774" width="12.5" style="168" customWidth="1"/>
    <col min="775" max="775" width="21" style="168" bestFit="1" customWidth="1"/>
    <col min="776" max="776" width="35.33203125" style="168" customWidth="1"/>
    <col min="777" max="777" width="19.5" style="168" customWidth="1"/>
    <col min="778" max="778" width="10.1640625" style="168" customWidth="1"/>
    <col min="779" max="1024" width="9.33203125" style="168"/>
    <col min="1025" max="1025" width="7.83203125" style="168" customWidth="1"/>
    <col min="1026" max="1026" width="65" style="168" customWidth="1"/>
    <col min="1027" max="1027" width="9" style="168" customWidth="1"/>
    <col min="1028" max="1028" width="14.83203125" style="168" customWidth="1"/>
    <col min="1029" max="1029" width="13.6640625" style="168" customWidth="1"/>
    <col min="1030" max="1030" width="12.5" style="168" customWidth="1"/>
    <col min="1031" max="1031" width="21" style="168" bestFit="1" customWidth="1"/>
    <col min="1032" max="1032" width="35.33203125" style="168" customWidth="1"/>
    <col min="1033" max="1033" width="19.5" style="168" customWidth="1"/>
    <col min="1034" max="1034" width="10.1640625" style="168" customWidth="1"/>
    <col min="1035" max="1280" width="9.33203125" style="168"/>
    <col min="1281" max="1281" width="7.83203125" style="168" customWidth="1"/>
    <col min="1282" max="1282" width="65" style="168" customWidth="1"/>
    <col min="1283" max="1283" width="9" style="168" customWidth="1"/>
    <col min="1284" max="1284" width="14.83203125" style="168" customWidth="1"/>
    <col min="1285" max="1285" width="13.6640625" style="168" customWidth="1"/>
    <col min="1286" max="1286" width="12.5" style="168" customWidth="1"/>
    <col min="1287" max="1287" width="21" style="168" bestFit="1" customWidth="1"/>
    <col min="1288" max="1288" width="35.33203125" style="168" customWidth="1"/>
    <col min="1289" max="1289" width="19.5" style="168" customWidth="1"/>
    <col min="1290" max="1290" width="10.1640625" style="168" customWidth="1"/>
    <col min="1291" max="1536" width="9.33203125" style="168"/>
    <col min="1537" max="1537" width="7.83203125" style="168" customWidth="1"/>
    <col min="1538" max="1538" width="65" style="168" customWidth="1"/>
    <col min="1539" max="1539" width="9" style="168" customWidth="1"/>
    <col min="1540" max="1540" width="14.83203125" style="168" customWidth="1"/>
    <col min="1541" max="1541" width="13.6640625" style="168" customWidth="1"/>
    <col min="1542" max="1542" width="12.5" style="168" customWidth="1"/>
    <col min="1543" max="1543" width="21" style="168" bestFit="1" customWidth="1"/>
    <col min="1544" max="1544" width="35.33203125" style="168" customWidth="1"/>
    <col min="1545" max="1545" width="19.5" style="168" customWidth="1"/>
    <col min="1546" max="1546" width="10.1640625" style="168" customWidth="1"/>
    <col min="1547" max="1792" width="9.33203125" style="168"/>
    <col min="1793" max="1793" width="7.83203125" style="168" customWidth="1"/>
    <col min="1794" max="1794" width="65" style="168" customWidth="1"/>
    <col min="1795" max="1795" width="9" style="168" customWidth="1"/>
    <col min="1796" max="1796" width="14.83203125" style="168" customWidth="1"/>
    <col min="1797" max="1797" width="13.6640625" style="168" customWidth="1"/>
    <col min="1798" max="1798" width="12.5" style="168" customWidth="1"/>
    <col min="1799" max="1799" width="21" style="168" bestFit="1" customWidth="1"/>
    <col min="1800" max="1800" width="35.33203125" style="168" customWidth="1"/>
    <col min="1801" max="1801" width="19.5" style="168" customWidth="1"/>
    <col min="1802" max="1802" width="10.1640625" style="168" customWidth="1"/>
    <col min="1803" max="2048" width="9.33203125" style="168"/>
    <col min="2049" max="2049" width="7.83203125" style="168" customWidth="1"/>
    <col min="2050" max="2050" width="65" style="168" customWidth="1"/>
    <col min="2051" max="2051" width="9" style="168" customWidth="1"/>
    <col min="2052" max="2052" width="14.83203125" style="168" customWidth="1"/>
    <col min="2053" max="2053" width="13.6640625" style="168" customWidth="1"/>
    <col min="2054" max="2054" width="12.5" style="168" customWidth="1"/>
    <col min="2055" max="2055" width="21" style="168" bestFit="1" customWidth="1"/>
    <col min="2056" max="2056" width="35.33203125" style="168" customWidth="1"/>
    <col min="2057" max="2057" width="19.5" style="168" customWidth="1"/>
    <col min="2058" max="2058" width="10.1640625" style="168" customWidth="1"/>
    <col min="2059" max="2304" width="9.33203125" style="168"/>
    <col min="2305" max="2305" width="7.83203125" style="168" customWidth="1"/>
    <col min="2306" max="2306" width="65" style="168" customWidth="1"/>
    <col min="2307" max="2307" width="9" style="168" customWidth="1"/>
    <col min="2308" max="2308" width="14.83203125" style="168" customWidth="1"/>
    <col min="2309" max="2309" width="13.6640625" style="168" customWidth="1"/>
    <col min="2310" max="2310" width="12.5" style="168" customWidth="1"/>
    <col min="2311" max="2311" width="21" style="168" bestFit="1" customWidth="1"/>
    <col min="2312" max="2312" width="35.33203125" style="168" customWidth="1"/>
    <col min="2313" max="2313" width="19.5" style="168" customWidth="1"/>
    <col min="2314" max="2314" width="10.1640625" style="168" customWidth="1"/>
    <col min="2315" max="2560" width="9.33203125" style="168"/>
    <col min="2561" max="2561" width="7.83203125" style="168" customWidth="1"/>
    <col min="2562" max="2562" width="65" style="168" customWidth="1"/>
    <col min="2563" max="2563" width="9" style="168" customWidth="1"/>
    <col min="2564" max="2564" width="14.83203125" style="168" customWidth="1"/>
    <col min="2565" max="2565" width="13.6640625" style="168" customWidth="1"/>
    <col min="2566" max="2566" width="12.5" style="168" customWidth="1"/>
    <col min="2567" max="2567" width="21" style="168" bestFit="1" customWidth="1"/>
    <col min="2568" max="2568" width="35.33203125" style="168" customWidth="1"/>
    <col min="2569" max="2569" width="19.5" style="168" customWidth="1"/>
    <col min="2570" max="2570" width="10.1640625" style="168" customWidth="1"/>
    <col min="2571" max="2816" width="9.33203125" style="168"/>
    <col min="2817" max="2817" width="7.83203125" style="168" customWidth="1"/>
    <col min="2818" max="2818" width="65" style="168" customWidth="1"/>
    <col min="2819" max="2819" width="9" style="168" customWidth="1"/>
    <col min="2820" max="2820" width="14.83203125" style="168" customWidth="1"/>
    <col min="2821" max="2821" width="13.6640625" style="168" customWidth="1"/>
    <col min="2822" max="2822" width="12.5" style="168" customWidth="1"/>
    <col min="2823" max="2823" width="21" style="168" bestFit="1" customWidth="1"/>
    <col min="2824" max="2824" width="35.33203125" style="168" customWidth="1"/>
    <col min="2825" max="2825" width="19.5" style="168" customWidth="1"/>
    <col min="2826" max="2826" width="10.1640625" style="168" customWidth="1"/>
    <col min="2827" max="3072" width="9.33203125" style="168"/>
    <col min="3073" max="3073" width="7.83203125" style="168" customWidth="1"/>
    <col min="3074" max="3074" width="65" style="168" customWidth="1"/>
    <col min="3075" max="3075" width="9" style="168" customWidth="1"/>
    <col min="3076" max="3076" width="14.83203125" style="168" customWidth="1"/>
    <col min="3077" max="3077" width="13.6640625" style="168" customWidth="1"/>
    <col min="3078" max="3078" width="12.5" style="168" customWidth="1"/>
    <col min="3079" max="3079" width="21" style="168" bestFit="1" customWidth="1"/>
    <col min="3080" max="3080" width="35.33203125" style="168" customWidth="1"/>
    <col min="3081" max="3081" width="19.5" style="168" customWidth="1"/>
    <col min="3082" max="3082" width="10.1640625" style="168" customWidth="1"/>
    <col min="3083" max="3328" width="9.33203125" style="168"/>
    <col min="3329" max="3329" width="7.83203125" style="168" customWidth="1"/>
    <col min="3330" max="3330" width="65" style="168" customWidth="1"/>
    <col min="3331" max="3331" width="9" style="168" customWidth="1"/>
    <col min="3332" max="3332" width="14.83203125" style="168" customWidth="1"/>
    <col min="3333" max="3333" width="13.6640625" style="168" customWidth="1"/>
    <col min="3334" max="3334" width="12.5" style="168" customWidth="1"/>
    <col min="3335" max="3335" width="21" style="168" bestFit="1" customWidth="1"/>
    <col min="3336" max="3336" width="35.33203125" style="168" customWidth="1"/>
    <col min="3337" max="3337" width="19.5" style="168" customWidth="1"/>
    <col min="3338" max="3338" width="10.1640625" style="168" customWidth="1"/>
    <col min="3339" max="3584" width="9.33203125" style="168"/>
    <col min="3585" max="3585" width="7.83203125" style="168" customWidth="1"/>
    <col min="3586" max="3586" width="65" style="168" customWidth="1"/>
    <col min="3587" max="3587" width="9" style="168" customWidth="1"/>
    <col min="3588" max="3588" width="14.83203125" style="168" customWidth="1"/>
    <col min="3589" max="3589" width="13.6640625" style="168" customWidth="1"/>
    <col min="3590" max="3590" width="12.5" style="168" customWidth="1"/>
    <col min="3591" max="3591" width="21" style="168" bestFit="1" customWidth="1"/>
    <col min="3592" max="3592" width="35.33203125" style="168" customWidth="1"/>
    <col min="3593" max="3593" width="19.5" style="168" customWidth="1"/>
    <col min="3594" max="3594" width="10.1640625" style="168" customWidth="1"/>
    <col min="3595" max="3840" width="9.33203125" style="168"/>
    <col min="3841" max="3841" width="7.83203125" style="168" customWidth="1"/>
    <col min="3842" max="3842" width="65" style="168" customWidth="1"/>
    <col min="3843" max="3843" width="9" style="168" customWidth="1"/>
    <col min="3844" max="3844" width="14.83203125" style="168" customWidth="1"/>
    <col min="3845" max="3845" width="13.6640625" style="168" customWidth="1"/>
    <col min="3846" max="3846" width="12.5" style="168" customWidth="1"/>
    <col min="3847" max="3847" width="21" style="168" bestFit="1" customWidth="1"/>
    <col min="3848" max="3848" width="35.33203125" style="168" customWidth="1"/>
    <col min="3849" max="3849" width="19.5" style="168" customWidth="1"/>
    <col min="3850" max="3850" width="10.1640625" style="168" customWidth="1"/>
    <col min="3851" max="4096" width="9.33203125" style="168"/>
    <col min="4097" max="4097" width="7.83203125" style="168" customWidth="1"/>
    <col min="4098" max="4098" width="65" style="168" customWidth="1"/>
    <col min="4099" max="4099" width="9" style="168" customWidth="1"/>
    <col min="4100" max="4100" width="14.83203125" style="168" customWidth="1"/>
    <col min="4101" max="4101" width="13.6640625" style="168" customWidth="1"/>
    <col min="4102" max="4102" width="12.5" style="168" customWidth="1"/>
    <col min="4103" max="4103" width="21" style="168" bestFit="1" customWidth="1"/>
    <col min="4104" max="4104" width="35.33203125" style="168" customWidth="1"/>
    <col min="4105" max="4105" width="19.5" style="168" customWidth="1"/>
    <col min="4106" max="4106" width="10.1640625" style="168" customWidth="1"/>
    <col min="4107" max="4352" width="9.33203125" style="168"/>
    <col min="4353" max="4353" width="7.83203125" style="168" customWidth="1"/>
    <col min="4354" max="4354" width="65" style="168" customWidth="1"/>
    <col min="4355" max="4355" width="9" style="168" customWidth="1"/>
    <col min="4356" max="4356" width="14.83203125" style="168" customWidth="1"/>
    <col min="4357" max="4357" width="13.6640625" style="168" customWidth="1"/>
    <col min="4358" max="4358" width="12.5" style="168" customWidth="1"/>
    <col min="4359" max="4359" width="21" style="168" bestFit="1" customWidth="1"/>
    <col min="4360" max="4360" width="35.33203125" style="168" customWidth="1"/>
    <col min="4361" max="4361" width="19.5" style="168" customWidth="1"/>
    <col min="4362" max="4362" width="10.1640625" style="168" customWidth="1"/>
    <col min="4363" max="4608" width="9.33203125" style="168"/>
    <col min="4609" max="4609" width="7.83203125" style="168" customWidth="1"/>
    <col min="4610" max="4610" width="65" style="168" customWidth="1"/>
    <col min="4611" max="4611" width="9" style="168" customWidth="1"/>
    <col min="4612" max="4612" width="14.83203125" style="168" customWidth="1"/>
    <col min="4613" max="4613" width="13.6640625" style="168" customWidth="1"/>
    <col min="4614" max="4614" width="12.5" style="168" customWidth="1"/>
    <col min="4615" max="4615" width="21" style="168" bestFit="1" customWidth="1"/>
    <col min="4616" max="4616" width="35.33203125" style="168" customWidth="1"/>
    <col min="4617" max="4617" width="19.5" style="168" customWidth="1"/>
    <col min="4618" max="4618" width="10.1640625" style="168" customWidth="1"/>
    <col min="4619" max="4864" width="9.33203125" style="168"/>
    <col min="4865" max="4865" width="7.83203125" style="168" customWidth="1"/>
    <col min="4866" max="4866" width="65" style="168" customWidth="1"/>
    <col min="4867" max="4867" width="9" style="168" customWidth="1"/>
    <col min="4868" max="4868" width="14.83203125" style="168" customWidth="1"/>
    <col min="4869" max="4869" width="13.6640625" style="168" customWidth="1"/>
    <col min="4870" max="4870" width="12.5" style="168" customWidth="1"/>
    <col min="4871" max="4871" width="21" style="168" bestFit="1" customWidth="1"/>
    <col min="4872" max="4872" width="35.33203125" style="168" customWidth="1"/>
    <col min="4873" max="4873" width="19.5" style="168" customWidth="1"/>
    <col min="4874" max="4874" width="10.1640625" style="168" customWidth="1"/>
    <col min="4875" max="5120" width="9.33203125" style="168"/>
    <col min="5121" max="5121" width="7.83203125" style="168" customWidth="1"/>
    <col min="5122" max="5122" width="65" style="168" customWidth="1"/>
    <col min="5123" max="5123" width="9" style="168" customWidth="1"/>
    <col min="5124" max="5124" width="14.83203125" style="168" customWidth="1"/>
    <col min="5125" max="5125" width="13.6640625" style="168" customWidth="1"/>
    <col min="5126" max="5126" width="12.5" style="168" customWidth="1"/>
    <col min="5127" max="5127" width="21" style="168" bestFit="1" customWidth="1"/>
    <col min="5128" max="5128" width="35.33203125" style="168" customWidth="1"/>
    <col min="5129" max="5129" width="19.5" style="168" customWidth="1"/>
    <col min="5130" max="5130" width="10.1640625" style="168" customWidth="1"/>
    <col min="5131" max="5376" width="9.33203125" style="168"/>
    <col min="5377" max="5377" width="7.83203125" style="168" customWidth="1"/>
    <col min="5378" max="5378" width="65" style="168" customWidth="1"/>
    <col min="5379" max="5379" width="9" style="168" customWidth="1"/>
    <col min="5380" max="5380" width="14.83203125" style="168" customWidth="1"/>
    <col min="5381" max="5381" width="13.6640625" style="168" customWidth="1"/>
    <col min="5382" max="5382" width="12.5" style="168" customWidth="1"/>
    <col min="5383" max="5383" width="21" style="168" bestFit="1" customWidth="1"/>
    <col min="5384" max="5384" width="35.33203125" style="168" customWidth="1"/>
    <col min="5385" max="5385" width="19.5" style="168" customWidth="1"/>
    <col min="5386" max="5386" width="10.1640625" style="168" customWidth="1"/>
    <col min="5387" max="5632" width="9.33203125" style="168"/>
    <col min="5633" max="5633" width="7.83203125" style="168" customWidth="1"/>
    <col min="5634" max="5634" width="65" style="168" customWidth="1"/>
    <col min="5635" max="5635" width="9" style="168" customWidth="1"/>
    <col min="5636" max="5636" width="14.83203125" style="168" customWidth="1"/>
    <col min="5637" max="5637" width="13.6640625" style="168" customWidth="1"/>
    <col min="5638" max="5638" width="12.5" style="168" customWidth="1"/>
    <col min="5639" max="5639" width="21" style="168" bestFit="1" customWidth="1"/>
    <col min="5640" max="5640" width="35.33203125" style="168" customWidth="1"/>
    <col min="5641" max="5641" width="19.5" style="168" customWidth="1"/>
    <col min="5642" max="5642" width="10.1640625" style="168" customWidth="1"/>
    <col min="5643" max="5888" width="9.33203125" style="168"/>
    <col min="5889" max="5889" width="7.83203125" style="168" customWidth="1"/>
    <col min="5890" max="5890" width="65" style="168" customWidth="1"/>
    <col min="5891" max="5891" width="9" style="168" customWidth="1"/>
    <col min="5892" max="5892" width="14.83203125" style="168" customWidth="1"/>
    <col min="5893" max="5893" width="13.6640625" style="168" customWidth="1"/>
    <col min="5894" max="5894" width="12.5" style="168" customWidth="1"/>
    <col min="5895" max="5895" width="21" style="168" bestFit="1" customWidth="1"/>
    <col min="5896" max="5896" width="35.33203125" style="168" customWidth="1"/>
    <col min="5897" max="5897" width="19.5" style="168" customWidth="1"/>
    <col min="5898" max="5898" width="10.1640625" style="168" customWidth="1"/>
    <col min="5899" max="6144" width="9.33203125" style="168"/>
    <col min="6145" max="6145" width="7.83203125" style="168" customWidth="1"/>
    <col min="6146" max="6146" width="65" style="168" customWidth="1"/>
    <col min="6147" max="6147" width="9" style="168" customWidth="1"/>
    <col min="6148" max="6148" width="14.83203125" style="168" customWidth="1"/>
    <col min="6149" max="6149" width="13.6640625" style="168" customWidth="1"/>
    <col min="6150" max="6150" width="12.5" style="168" customWidth="1"/>
    <col min="6151" max="6151" width="21" style="168" bestFit="1" customWidth="1"/>
    <col min="6152" max="6152" width="35.33203125" style="168" customWidth="1"/>
    <col min="6153" max="6153" width="19.5" style="168" customWidth="1"/>
    <col min="6154" max="6154" width="10.1640625" style="168" customWidth="1"/>
    <col min="6155" max="6400" width="9.33203125" style="168"/>
    <col min="6401" max="6401" width="7.83203125" style="168" customWidth="1"/>
    <col min="6402" max="6402" width="65" style="168" customWidth="1"/>
    <col min="6403" max="6403" width="9" style="168" customWidth="1"/>
    <col min="6404" max="6404" width="14.83203125" style="168" customWidth="1"/>
    <col min="6405" max="6405" width="13.6640625" style="168" customWidth="1"/>
    <col min="6406" max="6406" width="12.5" style="168" customWidth="1"/>
    <col min="6407" max="6407" width="21" style="168" bestFit="1" customWidth="1"/>
    <col min="6408" max="6408" width="35.33203125" style="168" customWidth="1"/>
    <col min="6409" max="6409" width="19.5" style="168" customWidth="1"/>
    <col min="6410" max="6410" width="10.1640625" style="168" customWidth="1"/>
    <col min="6411" max="6656" width="9.33203125" style="168"/>
    <col min="6657" max="6657" width="7.83203125" style="168" customWidth="1"/>
    <col min="6658" max="6658" width="65" style="168" customWidth="1"/>
    <col min="6659" max="6659" width="9" style="168" customWidth="1"/>
    <col min="6660" max="6660" width="14.83203125" style="168" customWidth="1"/>
    <col min="6661" max="6661" width="13.6640625" style="168" customWidth="1"/>
    <col min="6662" max="6662" width="12.5" style="168" customWidth="1"/>
    <col min="6663" max="6663" width="21" style="168" bestFit="1" customWidth="1"/>
    <col min="6664" max="6664" width="35.33203125" style="168" customWidth="1"/>
    <col min="6665" max="6665" width="19.5" style="168" customWidth="1"/>
    <col min="6666" max="6666" width="10.1640625" style="168" customWidth="1"/>
    <col min="6667" max="6912" width="9.33203125" style="168"/>
    <col min="6913" max="6913" width="7.83203125" style="168" customWidth="1"/>
    <col min="6914" max="6914" width="65" style="168" customWidth="1"/>
    <col min="6915" max="6915" width="9" style="168" customWidth="1"/>
    <col min="6916" max="6916" width="14.83203125" style="168" customWidth="1"/>
    <col min="6917" max="6917" width="13.6640625" style="168" customWidth="1"/>
    <col min="6918" max="6918" width="12.5" style="168" customWidth="1"/>
    <col min="6919" max="6919" width="21" style="168" bestFit="1" customWidth="1"/>
    <col min="6920" max="6920" width="35.33203125" style="168" customWidth="1"/>
    <col min="6921" max="6921" width="19.5" style="168" customWidth="1"/>
    <col min="6922" max="6922" width="10.1640625" style="168" customWidth="1"/>
    <col min="6923" max="7168" width="9.33203125" style="168"/>
    <col min="7169" max="7169" width="7.83203125" style="168" customWidth="1"/>
    <col min="7170" max="7170" width="65" style="168" customWidth="1"/>
    <col min="7171" max="7171" width="9" style="168" customWidth="1"/>
    <col min="7172" max="7172" width="14.83203125" style="168" customWidth="1"/>
    <col min="7173" max="7173" width="13.6640625" style="168" customWidth="1"/>
    <col min="7174" max="7174" width="12.5" style="168" customWidth="1"/>
    <col min="7175" max="7175" width="21" style="168" bestFit="1" customWidth="1"/>
    <col min="7176" max="7176" width="35.33203125" style="168" customWidth="1"/>
    <col min="7177" max="7177" width="19.5" style="168" customWidth="1"/>
    <col min="7178" max="7178" width="10.1640625" style="168" customWidth="1"/>
    <col min="7179" max="7424" width="9.33203125" style="168"/>
    <col min="7425" max="7425" width="7.83203125" style="168" customWidth="1"/>
    <col min="7426" max="7426" width="65" style="168" customWidth="1"/>
    <col min="7427" max="7427" width="9" style="168" customWidth="1"/>
    <col min="7428" max="7428" width="14.83203125" style="168" customWidth="1"/>
    <col min="7429" max="7429" width="13.6640625" style="168" customWidth="1"/>
    <col min="7430" max="7430" width="12.5" style="168" customWidth="1"/>
    <col min="7431" max="7431" width="21" style="168" bestFit="1" customWidth="1"/>
    <col min="7432" max="7432" width="35.33203125" style="168" customWidth="1"/>
    <col min="7433" max="7433" width="19.5" style="168" customWidth="1"/>
    <col min="7434" max="7434" width="10.1640625" style="168" customWidth="1"/>
    <col min="7435" max="7680" width="9.33203125" style="168"/>
    <col min="7681" max="7681" width="7.83203125" style="168" customWidth="1"/>
    <col min="7682" max="7682" width="65" style="168" customWidth="1"/>
    <col min="7683" max="7683" width="9" style="168" customWidth="1"/>
    <col min="7684" max="7684" width="14.83203125" style="168" customWidth="1"/>
    <col min="7685" max="7685" width="13.6640625" style="168" customWidth="1"/>
    <col min="7686" max="7686" width="12.5" style="168" customWidth="1"/>
    <col min="7687" max="7687" width="21" style="168" bestFit="1" customWidth="1"/>
    <col min="7688" max="7688" width="35.33203125" style="168" customWidth="1"/>
    <col min="7689" max="7689" width="19.5" style="168" customWidth="1"/>
    <col min="7690" max="7690" width="10.1640625" style="168" customWidth="1"/>
    <col min="7691" max="7936" width="9.33203125" style="168"/>
    <col min="7937" max="7937" width="7.83203125" style="168" customWidth="1"/>
    <col min="7938" max="7938" width="65" style="168" customWidth="1"/>
    <col min="7939" max="7939" width="9" style="168" customWidth="1"/>
    <col min="7940" max="7940" width="14.83203125" style="168" customWidth="1"/>
    <col min="7941" max="7941" width="13.6640625" style="168" customWidth="1"/>
    <col min="7942" max="7942" width="12.5" style="168" customWidth="1"/>
    <col min="7943" max="7943" width="21" style="168" bestFit="1" customWidth="1"/>
    <col min="7944" max="7944" width="35.33203125" style="168" customWidth="1"/>
    <col min="7945" max="7945" width="19.5" style="168" customWidth="1"/>
    <col min="7946" max="7946" width="10.1640625" style="168" customWidth="1"/>
    <col min="7947" max="8192" width="9.33203125" style="168"/>
    <col min="8193" max="8193" width="7.83203125" style="168" customWidth="1"/>
    <col min="8194" max="8194" width="65" style="168" customWidth="1"/>
    <col min="8195" max="8195" width="9" style="168" customWidth="1"/>
    <col min="8196" max="8196" width="14.83203125" style="168" customWidth="1"/>
    <col min="8197" max="8197" width="13.6640625" style="168" customWidth="1"/>
    <col min="8198" max="8198" width="12.5" style="168" customWidth="1"/>
    <col min="8199" max="8199" width="21" style="168" bestFit="1" customWidth="1"/>
    <col min="8200" max="8200" width="35.33203125" style="168" customWidth="1"/>
    <col min="8201" max="8201" width="19.5" style="168" customWidth="1"/>
    <col min="8202" max="8202" width="10.1640625" style="168" customWidth="1"/>
    <col min="8203" max="8448" width="9.33203125" style="168"/>
    <col min="8449" max="8449" width="7.83203125" style="168" customWidth="1"/>
    <col min="8450" max="8450" width="65" style="168" customWidth="1"/>
    <col min="8451" max="8451" width="9" style="168" customWidth="1"/>
    <col min="8452" max="8452" width="14.83203125" style="168" customWidth="1"/>
    <col min="8453" max="8453" width="13.6640625" style="168" customWidth="1"/>
    <col min="8454" max="8454" width="12.5" style="168" customWidth="1"/>
    <col min="8455" max="8455" width="21" style="168" bestFit="1" customWidth="1"/>
    <col min="8456" max="8456" width="35.33203125" style="168" customWidth="1"/>
    <col min="8457" max="8457" width="19.5" style="168" customWidth="1"/>
    <col min="8458" max="8458" width="10.1640625" style="168" customWidth="1"/>
    <col min="8459" max="8704" width="9.33203125" style="168"/>
    <col min="8705" max="8705" width="7.83203125" style="168" customWidth="1"/>
    <col min="8706" max="8706" width="65" style="168" customWidth="1"/>
    <col min="8707" max="8707" width="9" style="168" customWidth="1"/>
    <col min="8708" max="8708" width="14.83203125" style="168" customWidth="1"/>
    <col min="8709" max="8709" width="13.6640625" style="168" customWidth="1"/>
    <col min="8710" max="8710" width="12.5" style="168" customWidth="1"/>
    <col min="8711" max="8711" width="21" style="168" bestFit="1" customWidth="1"/>
    <col min="8712" max="8712" width="35.33203125" style="168" customWidth="1"/>
    <col min="8713" max="8713" width="19.5" style="168" customWidth="1"/>
    <col min="8714" max="8714" width="10.1640625" style="168" customWidth="1"/>
    <col min="8715" max="8960" width="9.33203125" style="168"/>
    <col min="8961" max="8961" width="7.83203125" style="168" customWidth="1"/>
    <col min="8962" max="8962" width="65" style="168" customWidth="1"/>
    <col min="8963" max="8963" width="9" style="168" customWidth="1"/>
    <col min="8964" max="8964" width="14.83203125" style="168" customWidth="1"/>
    <col min="8965" max="8965" width="13.6640625" style="168" customWidth="1"/>
    <col min="8966" max="8966" width="12.5" style="168" customWidth="1"/>
    <col min="8967" max="8967" width="21" style="168" bestFit="1" customWidth="1"/>
    <col min="8968" max="8968" width="35.33203125" style="168" customWidth="1"/>
    <col min="8969" max="8969" width="19.5" style="168" customWidth="1"/>
    <col min="8970" max="8970" width="10.1640625" style="168" customWidth="1"/>
    <col min="8971" max="9216" width="9.33203125" style="168"/>
    <col min="9217" max="9217" width="7.83203125" style="168" customWidth="1"/>
    <col min="9218" max="9218" width="65" style="168" customWidth="1"/>
    <col min="9219" max="9219" width="9" style="168" customWidth="1"/>
    <col min="9220" max="9220" width="14.83203125" style="168" customWidth="1"/>
    <col min="9221" max="9221" width="13.6640625" style="168" customWidth="1"/>
    <col min="9222" max="9222" width="12.5" style="168" customWidth="1"/>
    <col min="9223" max="9223" width="21" style="168" bestFit="1" customWidth="1"/>
    <col min="9224" max="9224" width="35.33203125" style="168" customWidth="1"/>
    <col min="9225" max="9225" width="19.5" style="168" customWidth="1"/>
    <col min="9226" max="9226" width="10.1640625" style="168" customWidth="1"/>
    <col min="9227" max="9472" width="9.33203125" style="168"/>
    <col min="9473" max="9473" width="7.83203125" style="168" customWidth="1"/>
    <col min="9474" max="9474" width="65" style="168" customWidth="1"/>
    <col min="9475" max="9475" width="9" style="168" customWidth="1"/>
    <col min="9476" max="9476" width="14.83203125" style="168" customWidth="1"/>
    <col min="9477" max="9477" width="13.6640625" style="168" customWidth="1"/>
    <col min="9478" max="9478" width="12.5" style="168" customWidth="1"/>
    <col min="9479" max="9479" width="21" style="168" bestFit="1" customWidth="1"/>
    <col min="9480" max="9480" width="35.33203125" style="168" customWidth="1"/>
    <col min="9481" max="9481" width="19.5" style="168" customWidth="1"/>
    <col min="9482" max="9482" width="10.1640625" style="168" customWidth="1"/>
    <col min="9483" max="9728" width="9.33203125" style="168"/>
    <col min="9729" max="9729" width="7.83203125" style="168" customWidth="1"/>
    <col min="9730" max="9730" width="65" style="168" customWidth="1"/>
    <col min="9731" max="9731" width="9" style="168" customWidth="1"/>
    <col min="9732" max="9732" width="14.83203125" style="168" customWidth="1"/>
    <col min="9733" max="9733" width="13.6640625" style="168" customWidth="1"/>
    <col min="9734" max="9734" width="12.5" style="168" customWidth="1"/>
    <col min="9735" max="9735" width="21" style="168" bestFit="1" customWidth="1"/>
    <col min="9736" max="9736" width="35.33203125" style="168" customWidth="1"/>
    <col min="9737" max="9737" width="19.5" style="168" customWidth="1"/>
    <col min="9738" max="9738" width="10.1640625" style="168" customWidth="1"/>
    <col min="9739" max="9984" width="9.33203125" style="168"/>
    <col min="9985" max="9985" width="7.83203125" style="168" customWidth="1"/>
    <col min="9986" max="9986" width="65" style="168" customWidth="1"/>
    <col min="9987" max="9987" width="9" style="168" customWidth="1"/>
    <col min="9988" max="9988" width="14.83203125" style="168" customWidth="1"/>
    <col min="9989" max="9989" width="13.6640625" style="168" customWidth="1"/>
    <col min="9990" max="9990" width="12.5" style="168" customWidth="1"/>
    <col min="9991" max="9991" width="21" style="168" bestFit="1" customWidth="1"/>
    <col min="9992" max="9992" width="35.33203125" style="168" customWidth="1"/>
    <col min="9993" max="9993" width="19.5" style="168" customWidth="1"/>
    <col min="9994" max="9994" width="10.1640625" style="168" customWidth="1"/>
    <col min="9995" max="10240" width="9.33203125" style="168"/>
    <col min="10241" max="10241" width="7.83203125" style="168" customWidth="1"/>
    <col min="10242" max="10242" width="65" style="168" customWidth="1"/>
    <col min="10243" max="10243" width="9" style="168" customWidth="1"/>
    <col min="10244" max="10244" width="14.83203125" style="168" customWidth="1"/>
    <col min="10245" max="10245" width="13.6640625" style="168" customWidth="1"/>
    <col min="10246" max="10246" width="12.5" style="168" customWidth="1"/>
    <col min="10247" max="10247" width="21" style="168" bestFit="1" customWidth="1"/>
    <col min="10248" max="10248" width="35.33203125" style="168" customWidth="1"/>
    <col min="10249" max="10249" width="19.5" style="168" customWidth="1"/>
    <col min="10250" max="10250" width="10.1640625" style="168" customWidth="1"/>
    <col min="10251" max="10496" width="9.33203125" style="168"/>
    <col min="10497" max="10497" width="7.83203125" style="168" customWidth="1"/>
    <col min="10498" max="10498" width="65" style="168" customWidth="1"/>
    <col min="10499" max="10499" width="9" style="168" customWidth="1"/>
    <col min="10500" max="10500" width="14.83203125" style="168" customWidth="1"/>
    <col min="10501" max="10501" width="13.6640625" style="168" customWidth="1"/>
    <col min="10502" max="10502" width="12.5" style="168" customWidth="1"/>
    <col min="10503" max="10503" width="21" style="168" bestFit="1" customWidth="1"/>
    <col min="10504" max="10504" width="35.33203125" style="168" customWidth="1"/>
    <col min="10505" max="10505" width="19.5" style="168" customWidth="1"/>
    <col min="10506" max="10506" width="10.1640625" style="168" customWidth="1"/>
    <col min="10507" max="10752" width="9.33203125" style="168"/>
    <col min="10753" max="10753" width="7.83203125" style="168" customWidth="1"/>
    <col min="10754" max="10754" width="65" style="168" customWidth="1"/>
    <col min="10755" max="10755" width="9" style="168" customWidth="1"/>
    <col min="10756" max="10756" width="14.83203125" style="168" customWidth="1"/>
    <col min="10757" max="10757" width="13.6640625" style="168" customWidth="1"/>
    <col min="10758" max="10758" width="12.5" style="168" customWidth="1"/>
    <col min="10759" max="10759" width="21" style="168" bestFit="1" customWidth="1"/>
    <col min="10760" max="10760" width="35.33203125" style="168" customWidth="1"/>
    <col min="10761" max="10761" width="19.5" style="168" customWidth="1"/>
    <col min="10762" max="10762" width="10.1640625" style="168" customWidth="1"/>
    <col min="10763" max="11008" width="9.33203125" style="168"/>
    <col min="11009" max="11009" width="7.83203125" style="168" customWidth="1"/>
    <col min="11010" max="11010" width="65" style="168" customWidth="1"/>
    <col min="11011" max="11011" width="9" style="168" customWidth="1"/>
    <col min="11012" max="11012" width="14.83203125" style="168" customWidth="1"/>
    <col min="11013" max="11013" width="13.6640625" style="168" customWidth="1"/>
    <col min="11014" max="11014" width="12.5" style="168" customWidth="1"/>
    <col min="11015" max="11015" width="21" style="168" bestFit="1" customWidth="1"/>
    <col min="11016" max="11016" width="35.33203125" style="168" customWidth="1"/>
    <col min="11017" max="11017" width="19.5" style="168" customWidth="1"/>
    <col min="11018" max="11018" width="10.1640625" style="168" customWidth="1"/>
    <col min="11019" max="11264" width="9.33203125" style="168"/>
    <col min="11265" max="11265" width="7.83203125" style="168" customWidth="1"/>
    <col min="11266" max="11266" width="65" style="168" customWidth="1"/>
    <col min="11267" max="11267" width="9" style="168" customWidth="1"/>
    <col min="11268" max="11268" width="14.83203125" style="168" customWidth="1"/>
    <col min="11269" max="11269" width="13.6640625" style="168" customWidth="1"/>
    <col min="11270" max="11270" width="12.5" style="168" customWidth="1"/>
    <col min="11271" max="11271" width="21" style="168" bestFit="1" customWidth="1"/>
    <col min="11272" max="11272" width="35.33203125" style="168" customWidth="1"/>
    <col min="11273" max="11273" width="19.5" style="168" customWidth="1"/>
    <col min="11274" max="11274" width="10.1640625" style="168" customWidth="1"/>
    <col min="11275" max="11520" width="9.33203125" style="168"/>
    <col min="11521" max="11521" width="7.83203125" style="168" customWidth="1"/>
    <col min="11522" max="11522" width="65" style="168" customWidth="1"/>
    <col min="11523" max="11523" width="9" style="168" customWidth="1"/>
    <col min="11524" max="11524" width="14.83203125" style="168" customWidth="1"/>
    <col min="11525" max="11525" width="13.6640625" style="168" customWidth="1"/>
    <col min="11526" max="11526" width="12.5" style="168" customWidth="1"/>
    <col min="11527" max="11527" width="21" style="168" bestFit="1" customWidth="1"/>
    <col min="11528" max="11528" width="35.33203125" style="168" customWidth="1"/>
    <col min="11529" max="11529" width="19.5" style="168" customWidth="1"/>
    <col min="11530" max="11530" width="10.1640625" style="168" customWidth="1"/>
    <col min="11531" max="11776" width="9.33203125" style="168"/>
    <col min="11777" max="11777" width="7.83203125" style="168" customWidth="1"/>
    <col min="11778" max="11778" width="65" style="168" customWidth="1"/>
    <col min="11779" max="11779" width="9" style="168" customWidth="1"/>
    <col min="11780" max="11780" width="14.83203125" style="168" customWidth="1"/>
    <col min="11781" max="11781" width="13.6640625" style="168" customWidth="1"/>
    <col min="11782" max="11782" width="12.5" style="168" customWidth="1"/>
    <col min="11783" max="11783" width="21" style="168" bestFit="1" customWidth="1"/>
    <col min="11784" max="11784" width="35.33203125" style="168" customWidth="1"/>
    <col min="11785" max="11785" width="19.5" style="168" customWidth="1"/>
    <col min="11786" max="11786" width="10.1640625" style="168" customWidth="1"/>
    <col min="11787" max="12032" width="9.33203125" style="168"/>
    <col min="12033" max="12033" width="7.83203125" style="168" customWidth="1"/>
    <col min="12034" max="12034" width="65" style="168" customWidth="1"/>
    <col min="12035" max="12035" width="9" style="168" customWidth="1"/>
    <col min="12036" max="12036" width="14.83203125" style="168" customWidth="1"/>
    <col min="12037" max="12037" width="13.6640625" style="168" customWidth="1"/>
    <col min="12038" max="12038" width="12.5" style="168" customWidth="1"/>
    <col min="12039" max="12039" width="21" style="168" bestFit="1" customWidth="1"/>
    <col min="12040" max="12040" width="35.33203125" style="168" customWidth="1"/>
    <col min="12041" max="12041" width="19.5" style="168" customWidth="1"/>
    <col min="12042" max="12042" width="10.1640625" style="168" customWidth="1"/>
    <col min="12043" max="12288" width="9.33203125" style="168"/>
    <col min="12289" max="12289" width="7.83203125" style="168" customWidth="1"/>
    <col min="12290" max="12290" width="65" style="168" customWidth="1"/>
    <col min="12291" max="12291" width="9" style="168" customWidth="1"/>
    <col min="12292" max="12292" width="14.83203125" style="168" customWidth="1"/>
    <col min="12293" max="12293" width="13.6640625" style="168" customWidth="1"/>
    <col min="12294" max="12294" width="12.5" style="168" customWidth="1"/>
    <col min="12295" max="12295" width="21" style="168" bestFit="1" customWidth="1"/>
    <col min="12296" max="12296" width="35.33203125" style="168" customWidth="1"/>
    <col min="12297" max="12297" width="19.5" style="168" customWidth="1"/>
    <col min="12298" max="12298" width="10.1640625" style="168" customWidth="1"/>
    <col min="12299" max="12544" width="9.33203125" style="168"/>
    <col min="12545" max="12545" width="7.83203125" style="168" customWidth="1"/>
    <col min="12546" max="12546" width="65" style="168" customWidth="1"/>
    <col min="12547" max="12547" width="9" style="168" customWidth="1"/>
    <col min="12548" max="12548" width="14.83203125" style="168" customWidth="1"/>
    <col min="12549" max="12549" width="13.6640625" style="168" customWidth="1"/>
    <col min="12550" max="12550" width="12.5" style="168" customWidth="1"/>
    <col min="12551" max="12551" width="21" style="168" bestFit="1" customWidth="1"/>
    <col min="12552" max="12552" width="35.33203125" style="168" customWidth="1"/>
    <col min="12553" max="12553" width="19.5" style="168" customWidth="1"/>
    <col min="12554" max="12554" width="10.1640625" style="168" customWidth="1"/>
    <col min="12555" max="12800" width="9.33203125" style="168"/>
    <col min="12801" max="12801" width="7.83203125" style="168" customWidth="1"/>
    <col min="12802" max="12802" width="65" style="168" customWidth="1"/>
    <col min="12803" max="12803" width="9" style="168" customWidth="1"/>
    <col min="12804" max="12804" width="14.83203125" style="168" customWidth="1"/>
    <col min="12805" max="12805" width="13.6640625" style="168" customWidth="1"/>
    <col min="12806" max="12806" width="12.5" style="168" customWidth="1"/>
    <col min="12807" max="12807" width="21" style="168" bestFit="1" customWidth="1"/>
    <col min="12808" max="12808" width="35.33203125" style="168" customWidth="1"/>
    <col min="12809" max="12809" width="19.5" style="168" customWidth="1"/>
    <col min="12810" max="12810" width="10.1640625" style="168" customWidth="1"/>
    <col min="12811" max="13056" width="9.33203125" style="168"/>
    <col min="13057" max="13057" width="7.83203125" style="168" customWidth="1"/>
    <col min="13058" max="13058" width="65" style="168" customWidth="1"/>
    <col min="13059" max="13059" width="9" style="168" customWidth="1"/>
    <col min="13060" max="13060" width="14.83203125" style="168" customWidth="1"/>
    <col min="13061" max="13061" width="13.6640625" style="168" customWidth="1"/>
    <col min="13062" max="13062" width="12.5" style="168" customWidth="1"/>
    <col min="13063" max="13063" width="21" style="168" bestFit="1" customWidth="1"/>
    <col min="13064" max="13064" width="35.33203125" style="168" customWidth="1"/>
    <col min="13065" max="13065" width="19.5" style="168" customWidth="1"/>
    <col min="13066" max="13066" width="10.1640625" style="168" customWidth="1"/>
    <col min="13067" max="13312" width="9.33203125" style="168"/>
    <col min="13313" max="13313" width="7.83203125" style="168" customWidth="1"/>
    <col min="13314" max="13314" width="65" style="168" customWidth="1"/>
    <col min="13315" max="13315" width="9" style="168" customWidth="1"/>
    <col min="13316" max="13316" width="14.83203125" style="168" customWidth="1"/>
    <col min="13317" max="13317" width="13.6640625" style="168" customWidth="1"/>
    <col min="13318" max="13318" width="12.5" style="168" customWidth="1"/>
    <col min="13319" max="13319" width="21" style="168" bestFit="1" customWidth="1"/>
    <col min="13320" max="13320" width="35.33203125" style="168" customWidth="1"/>
    <col min="13321" max="13321" width="19.5" style="168" customWidth="1"/>
    <col min="13322" max="13322" width="10.1640625" style="168" customWidth="1"/>
    <col min="13323" max="13568" width="9.33203125" style="168"/>
    <col min="13569" max="13569" width="7.83203125" style="168" customWidth="1"/>
    <col min="13570" max="13570" width="65" style="168" customWidth="1"/>
    <col min="13571" max="13571" width="9" style="168" customWidth="1"/>
    <col min="13572" max="13572" width="14.83203125" style="168" customWidth="1"/>
    <col min="13573" max="13573" width="13.6640625" style="168" customWidth="1"/>
    <col min="13574" max="13574" width="12.5" style="168" customWidth="1"/>
    <col min="13575" max="13575" width="21" style="168" bestFit="1" customWidth="1"/>
    <col min="13576" max="13576" width="35.33203125" style="168" customWidth="1"/>
    <col min="13577" max="13577" width="19.5" style="168" customWidth="1"/>
    <col min="13578" max="13578" width="10.1640625" style="168" customWidth="1"/>
    <col min="13579" max="13824" width="9.33203125" style="168"/>
    <col min="13825" max="13825" width="7.83203125" style="168" customWidth="1"/>
    <col min="13826" max="13826" width="65" style="168" customWidth="1"/>
    <col min="13827" max="13827" width="9" style="168" customWidth="1"/>
    <col min="13828" max="13828" width="14.83203125" style="168" customWidth="1"/>
    <col min="13829" max="13829" width="13.6640625" style="168" customWidth="1"/>
    <col min="13830" max="13830" width="12.5" style="168" customWidth="1"/>
    <col min="13831" max="13831" width="21" style="168" bestFit="1" customWidth="1"/>
    <col min="13832" max="13832" width="35.33203125" style="168" customWidth="1"/>
    <col min="13833" max="13833" width="19.5" style="168" customWidth="1"/>
    <col min="13834" max="13834" width="10.1640625" style="168" customWidth="1"/>
    <col min="13835" max="14080" width="9.33203125" style="168"/>
    <col min="14081" max="14081" width="7.83203125" style="168" customWidth="1"/>
    <col min="14082" max="14082" width="65" style="168" customWidth="1"/>
    <col min="14083" max="14083" width="9" style="168" customWidth="1"/>
    <col min="14084" max="14084" width="14.83203125" style="168" customWidth="1"/>
    <col min="14085" max="14085" width="13.6640625" style="168" customWidth="1"/>
    <col min="14086" max="14086" width="12.5" style="168" customWidth="1"/>
    <col min="14087" max="14087" width="21" style="168" bestFit="1" customWidth="1"/>
    <col min="14088" max="14088" width="35.33203125" style="168" customWidth="1"/>
    <col min="14089" max="14089" width="19.5" style="168" customWidth="1"/>
    <col min="14090" max="14090" width="10.1640625" style="168" customWidth="1"/>
    <col min="14091" max="14336" width="9.33203125" style="168"/>
    <col min="14337" max="14337" width="7.83203125" style="168" customWidth="1"/>
    <col min="14338" max="14338" width="65" style="168" customWidth="1"/>
    <col min="14339" max="14339" width="9" style="168" customWidth="1"/>
    <col min="14340" max="14340" width="14.83203125" style="168" customWidth="1"/>
    <col min="14341" max="14341" width="13.6640625" style="168" customWidth="1"/>
    <col min="14342" max="14342" width="12.5" style="168" customWidth="1"/>
    <col min="14343" max="14343" width="21" style="168" bestFit="1" customWidth="1"/>
    <col min="14344" max="14344" width="35.33203125" style="168" customWidth="1"/>
    <col min="14345" max="14345" width="19.5" style="168" customWidth="1"/>
    <col min="14346" max="14346" width="10.1640625" style="168" customWidth="1"/>
    <col min="14347" max="14592" width="9.33203125" style="168"/>
    <col min="14593" max="14593" width="7.83203125" style="168" customWidth="1"/>
    <col min="14594" max="14594" width="65" style="168" customWidth="1"/>
    <col min="14595" max="14595" width="9" style="168" customWidth="1"/>
    <col min="14596" max="14596" width="14.83203125" style="168" customWidth="1"/>
    <col min="14597" max="14597" width="13.6640625" style="168" customWidth="1"/>
    <col min="14598" max="14598" width="12.5" style="168" customWidth="1"/>
    <col min="14599" max="14599" width="21" style="168" bestFit="1" customWidth="1"/>
    <col min="14600" max="14600" width="35.33203125" style="168" customWidth="1"/>
    <col min="14601" max="14601" width="19.5" style="168" customWidth="1"/>
    <col min="14602" max="14602" width="10.1640625" style="168" customWidth="1"/>
    <col min="14603" max="14848" width="9.33203125" style="168"/>
    <col min="14849" max="14849" width="7.83203125" style="168" customWidth="1"/>
    <col min="14850" max="14850" width="65" style="168" customWidth="1"/>
    <col min="14851" max="14851" width="9" style="168" customWidth="1"/>
    <col min="14852" max="14852" width="14.83203125" style="168" customWidth="1"/>
    <col min="14853" max="14853" width="13.6640625" style="168" customWidth="1"/>
    <col min="14854" max="14854" width="12.5" style="168" customWidth="1"/>
    <col min="14855" max="14855" width="21" style="168" bestFit="1" customWidth="1"/>
    <col min="14856" max="14856" width="35.33203125" style="168" customWidth="1"/>
    <col min="14857" max="14857" width="19.5" style="168" customWidth="1"/>
    <col min="14858" max="14858" width="10.1640625" style="168" customWidth="1"/>
    <col min="14859" max="15104" width="9.33203125" style="168"/>
    <col min="15105" max="15105" width="7.83203125" style="168" customWidth="1"/>
    <col min="15106" max="15106" width="65" style="168" customWidth="1"/>
    <col min="15107" max="15107" width="9" style="168" customWidth="1"/>
    <col min="15108" max="15108" width="14.83203125" style="168" customWidth="1"/>
    <col min="15109" max="15109" width="13.6640625" style="168" customWidth="1"/>
    <col min="15110" max="15110" width="12.5" style="168" customWidth="1"/>
    <col min="15111" max="15111" width="21" style="168" bestFit="1" customWidth="1"/>
    <col min="15112" max="15112" width="35.33203125" style="168" customWidth="1"/>
    <col min="15113" max="15113" width="19.5" style="168" customWidth="1"/>
    <col min="15114" max="15114" width="10.1640625" style="168" customWidth="1"/>
    <col min="15115" max="15360" width="9.33203125" style="168"/>
    <col min="15361" max="15361" width="7.83203125" style="168" customWidth="1"/>
    <col min="15362" max="15362" width="65" style="168" customWidth="1"/>
    <col min="15363" max="15363" width="9" style="168" customWidth="1"/>
    <col min="15364" max="15364" width="14.83203125" style="168" customWidth="1"/>
    <col min="15365" max="15365" width="13.6640625" style="168" customWidth="1"/>
    <col min="15366" max="15366" width="12.5" style="168" customWidth="1"/>
    <col min="15367" max="15367" width="21" style="168" bestFit="1" customWidth="1"/>
    <col min="15368" max="15368" width="35.33203125" style="168" customWidth="1"/>
    <col min="15369" max="15369" width="19.5" style="168" customWidth="1"/>
    <col min="15370" max="15370" width="10.1640625" style="168" customWidth="1"/>
    <col min="15371" max="15616" width="9.33203125" style="168"/>
    <col min="15617" max="15617" width="7.83203125" style="168" customWidth="1"/>
    <col min="15618" max="15618" width="65" style="168" customWidth="1"/>
    <col min="15619" max="15619" width="9" style="168" customWidth="1"/>
    <col min="15620" max="15620" width="14.83203125" style="168" customWidth="1"/>
    <col min="15621" max="15621" width="13.6640625" style="168" customWidth="1"/>
    <col min="15622" max="15622" width="12.5" style="168" customWidth="1"/>
    <col min="15623" max="15623" width="21" style="168" bestFit="1" customWidth="1"/>
    <col min="15624" max="15624" width="35.33203125" style="168" customWidth="1"/>
    <col min="15625" max="15625" width="19.5" style="168" customWidth="1"/>
    <col min="15626" max="15626" width="10.1640625" style="168" customWidth="1"/>
    <col min="15627" max="15872" width="9.33203125" style="168"/>
    <col min="15873" max="15873" width="7.83203125" style="168" customWidth="1"/>
    <col min="15874" max="15874" width="65" style="168" customWidth="1"/>
    <col min="15875" max="15875" width="9" style="168" customWidth="1"/>
    <col min="15876" max="15876" width="14.83203125" style="168" customWidth="1"/>
    <col min="15877" max="15877" width="13.6640625" style="168" customWidth="1"/>
    <col min="15878" max="15878" width="12.5" style="168" customWidth="1"/>
    <col min="15879" max="15879" width="21" style="168" bestFit="1" customWidth="1"/>
    <col min="15880" max="15880" width="35.33203125" style="168" customWidth="1"/>
    <col min="15881" max="15881" width="19.5" style="168" customWidth="1"/>
    <col min="15882" max="15882" width="10.1640625" style="168" customWidth="1"/>
    <col min="15883" max="16128" width="9.33203125" style="168"/>
    <col min="16129" max="16129" width="7.83203125" style="168" customWidth="1"/>
    <col min="16130" max="16130" width="65" style="168" customWidth="1"/>
    <col min="16131" max="16131" width="9" style="168" customWidth="1"/>
    <col min="16132" max="16132" width="14.83203125" style="168" customWidth="1"/>
    <col min="16133" max="16133" width="13.6640625" style="168" customWidth="1"/>
    <col min="16134" max="16134" width="12.5" style="168" customWidth="1"/>
    <col min="16135" max="16135" width="21" style="168" bestFit="1" customWidth="1"/>
    <col min="16136" max="16136" width="35.33203125" style="168" customWidth="1"/>
    <col min="16137" max="16137" width="19.5" style="168" customWidth="1"/>
    <col min="16138" max="16138" width="10.1640625" style="168" customWidth="1"/>
    <col min="16139" max="16384" width="9.33203125" style="168"/>
  </cols>
  <sheetData>
    <row r="1" spans="1:12" s="156" customFormat="1" ht="20.25" customHeight="1">
      <c r="A1" s="283" t="s">
        <v>197</v>
      </c>
      <c r="B1" s="283"/>
      <c r="C1" s="283"/>
      <c r="D1" s="283"/>
      <c r="E1" s="283"/>
      <c r="F1" s="283"/>
      <c r="G1" s="283"/>
      <c r="H1" s="155" t="s">
        <v>204</v>
      </c>
    </row>
    <row r="2" spans="1:12" s="156" customFormat="1" ht="9.9499999999999993" customHeight="1">
      <c r="A2" s="284"/>
      <c r="B2" s="285"/>
      <c r="C2" s="285"/>
      <c r="D2" s="285"/>
      <c r="E2" s="285"/>
      <c r="F2" s="285"/>
      <c r="G2" s="285"/>
      <c r="H2" s="155"/>
    </row>
    <row r="3" spans="1:12" s="158" customFormat="1" ht="15.75" customHeight="1">
      <c r="A3" s="286" t="s">
        <v>1</v>
      </c>
      <c r="B3" s="287" t="s">
        <v>2</v>
      </c>
      <c r="C3" s="286" t="s">
        <v>193</v>
      </c>
      <c r="D3" s="286" t="s">
        <v>201</v>
      </c>
      <c r="E3" s="288" t="s">
        <v>3</v>
      </c>
      <c r="F3" s="286" t="s">
        <v>202</v>
      </c>
      <c r="G3" s="289" t="s">
        <v>203</v>
      </c>
      <c r="H3" s="157"/>
    </row>
    <row r="4" spans="1:12" s="158" customFormat="1">
      <c r="A4" s="286"/>
      <c r="B4" s="287"/>
      <c r="C4" s="286"/>
      <c r="D4" s="286"/>
      <c r="E4" s="288"/>
      <c r="F4" s="286"/>
      <c r="G4" s="286"/>
      <c r="H4" s="157"/>
    </row>
    <row r="5" spans="1:12" s="156" customFormat="1" ht="50.1" customHeight="1">
      <c r="A5" s="159" t="e">
        <f>ORÇAMENTO!#REF!</f>
        <v>#REF!</v>
      </c>
      <c r="B5" s="281" t="e">
        <f>ORÇAMENTO!#REF!</f>
        <v>#REF!</v>
      </c>
      <c r="C5" s="282"/>
      <c r="D5" s="282"/>
      <c r="E5" s="282"/>
      <c r="F5" s="282"/>
      <c r="G5" s="160">
        <f>SUM(G6:G49)</f>
        <v>52125.17</v>
      </c>
      <c r="H5" s="155"/>
    </row>
    <row r="6" spans="1:12" s="156" customFormat="1">
      <c r="A6" s="161">
        <v>1</v>
      </c>
      <c r="B6" s="161" t="s">
        <v>62</v>
      </c>
      <c r="C6" s="162" t="s">
        <v>217</v>
      </c>
      <c r="D6" s="161" t="s">
        <v>6</v>
      </c>
      <c r="E6" s="163">
        <v>2</v>
      </c>
      <c r="F6" s="164">
        <v>72.900000000000006</v>
      </c>
      <c r="G6" s="163">
        <f t="shared" ref="G6:G17" si="0">ROUND(E6*F6,2)</f>
        <v>145.80000000000001</v>
      </c>
      <c r="H6" s="165"/>
    </row>
    <row r="7" spans="1:12" s="156" customFormat="1" ht="31.5">
      <c r="A7" s="161">
        <v>3</v>
      </c>
      <c r="B7" s="161" t="s">
        <v>286</v>
      </c>
      <c r="C7" s="162" t="s">
        <v>216</v>
      </c>
      <c r="D7" s="161" t="s">
        <v>6</v>
      </c>
      <c r="E7" s="163">
        <v>2</v>
      </c>
      <c r="F7" s="164">
        <v>52.94</v>
      </c>
      <c r="G7" s="163">
        <f t="shared" si="0"/>
        <v>105.88</v>
      </c>
      <c r="H7" s="165"/>
    </row>
    <row r="8" spans="1:12" s="156" customFormat="1" ht="31.5">
      <c r="A8" s="161">
        <v>4</v>
      </c>
      <c r="B8" s="161" t="s">
        <v>287</v>
      </c>
      <c r="C8" s="162" t="s">
        <v>218</v>
      </c>
      <c r="D8" s="161" t="s">
        <v>6</v>
      </c>
      <c r="E8" s="163">
        <v>1</v>
      </c>
      <c r="F8" s="164">
        <v>107.64</v>
      </c>
      <c r="G8" s="163">
        <f t="shared" si="0"/>
        <v>107.64</v>
      </c>
      <c r="H8" s="165"/>
    </row>
    <row r="9" spans="1:12" s="156" customFormat="1" ht="31.5">
      <c r="A9" s="161">
        <v>5</v>
      </c>
      <c r="B9" s="161" t="s">
        <v>288</v>
      </c>
      <c r="C9" s="162" t="s">
        <v>219</v>
      </c>
      <c r="D9" s="161" t="s">
        <v>6</v>
      </c>
      <c r="E9" s="163">
        <v>1</v>
      </c>
      <c r="F9" s="164">
        <v>82.72</v>
      </c>
      <c r="G9" s="163">
        <f t="shared" si="0"/>
        <v>82.72</v>
      </c>
      <c r="H9" s="165"/>
    </row>
    <row r="10" spans="1:12" s="156" customFormat="1" ht="47.25">
      <c r="A10" s="161">
        <v>6</v>
      </c>
      <c r="B10" s="161">
        <v>72322</v>
      </c>
      <c r="C10" s="162" t="s">
        <v>264</v>
      </c>
      <c r="D10" s="161" t="s">
        <v>6</v>
      </c>
      <c r="E10" s="163">
        <v>1</v>
      </c>
      <c r="F10" s="164">
        <v>431.72</v>
      </c>
      <c r="G10" s="163">
        <f t="shared" si="0"/>
        <v>431.72</v>
      </c>
      <c r="H10" s="165"/>
      <c r="L10" s="172"/>
    </row>
    <row r="11" spans="1:12" s="156" customFormat="1">
      <c r="A11" s="161" t="s">
        <v>48</v>
      </c>
      <c r="B11" s="161" t="s">
        <v>62</v>
      </c>
      <c r="C11" s="162" t="s">
        <v>220</v>
      </c>
      <c r="D11" s="161" t="s">
        <v>6</v>
      </c>
      <c r="E11" s="163">
        <v>1</v>
      </c>
      <c r="F11" s="164">
        <v>1435.05</v>
      </c>
      <c r="G11" s="163">
        <f t="shared" si="0"/>
        <v>1435.05</v>
      </c>
      <c r="H11" s="165" t="s">
        <v>267</v>
      </c>
      <c r="L11" s="172"/>
    </row>
    <row r="12" spans="1:12" s="156" customFormat="1" ht="31.5">
      <c r="A12" s="161" t="s">
        <v>49</v>
      </c>
      <c r="B12" s="161" t="s">
        <v>198</v>
      </c>
      <c r="C12" s="162" t="s">
        <v>200</v>
      </c>
      <c r="D12" s="161" t="s">
        <v>16</v>
      </c>
      <c r="E12" s="163">
        <v>4.5</v>
      </c>
      <c r="F12" s="164">
        <v>13.69</v>
      </c>
      <c r="G12" s="163">
        <f t="shared" ref="G12:G13" si="1">ROUND(E12*F12,2)</f>
        <v>61.61</v>
      </c>
      <c r="H12" s="165"/>
      <c r="L12" s="172"/>
    </row>
    <row r="13" spans="1:12" s="156" customFormat="1">
      <c r="A13" s="161" t="s">
        <v>50</v>
      </c>
      <c r="B13" s="161" t="s">
        <v>199</v>
      </c>
      <c r="C13" s="162" t="s">
        <v>184</v>
      </c>
      <c r="D13" s="161" t="s">
        <v>16</v>
      </c>
      <c r="E13" s="163">
        <v>4.5</v>
      </c>
      <c r="F13" s="164">
        <v>17.97</v>
      </c>
      <c r="G13" s="163">
        <f t="shared" si="1"/>
        <v>80.87</v>
      </c>
      <c r="H13" s="165"/>
      <c r="L13" s="172"/>
    </row>
    <row r="14" spans="1:12" s="156" customFormat="1" ht="31.5">
      <c r="A14" s="161" t="s">
        <v>51</v>
      </c>
      <c r="B14" s="161" t="s">
        <v>266</v>
      </c>
      <c r="C14" s="162" t="s">
        <v>265</v>
      </c>
      <c r="D14" s="161" t="s">
        <v>16</v>
      </c>
      <c r="E14" s="163">
        <v>0.5</v>
      </c>
      <c r="F14" s="164">
        <v>19.98</v>
      </c>
      <c r="G14" s="163">
        <f t="shared" ref="G14" si="2">ROUND(E14*F14,2)</f>
        <v>9.99</v>
      </c>
      <c r="H14" s="165"/>
      <c r="L14" s="172"/>
    </row>
    <row r="15" spans="1:12" s="156" customFormat="1">
      <c r="A15" s="161">
        <v>8</v>
      </c>
      <c r="B15" s="161" t="s">
        <v>248</v>
      </c>
      <c r="C15" s="162" t="s">
        <v>226</v>
      </c>
      <c r="D15" s="161" t="s">
        <v>6</v>
      </c>
      <c r="E15" s="163">
        <f>4+4+7+9+9+9+6+1+10+6+6+6+8+5+5</f>
        <v>95</v>
      </c>
      <c r="F15" s="164">
        <v>16.59</v>
      </c>
      <c r="G15" s="163">
        <f t="shared" si="0"/>
        <v>1576.05</v>
      </c>
      <c r="H15" s="177"/>
      <c r="I15" s="178"/>
      <c r="J15" s="179"/>
      <c r="L15" s="172"/>
    </row>
    <row r="16" spans="1:12" s="156" customFormat="1">
      <c r="A16" s="161">
        <v>9</v>
      </c>
      <c r="B16" s="161" t="s">
        <v>252</v>
      </c>
      <c r="C16" s="162" t="s">
        <v>227</v>
      </c>
      <c r="D16" s="161" t="s">
        <v>6</v>
      </c>
      <c r="E16" s="163">
        <f>8+7+7+7</f>
        <v>29</v>
      </c>
      <c r="F16" s="164">
        <v>16.59</v>
      </c>
      <c r="G16" s="163">
        <f t="shared" si="0"/>
        <v>481.11</v>
      </c>
      <c r="H16" s="177"/>
      <c r="I16" s="178"/>
      <c r="J16" s="179"/>
      <c r="L16" s="172"/>
    </row>
    <row r="17" spans="1:12" s="156" customFormat="1">
      <c r="A17" s="161">
        <v>10</v>
      </c>
      <c r="B17" s="161" t="s">
        <v>254</v>
      </c>
      <c r="C17" s="162" t="s">
        <v>228</v>
      </c>
      <c r="D17" s="161" t="s">
        <v>6</v>
      </c>
      <c r="E17" s="163">
        <f>5+3+4+4+4</f>
        <v>20</v>
      </c>
      <c r="F17" s="164">
        <v>16.59</v>
      </c>
      <c r="G17" s="163">
        <f t="shared" si="0"/>
        <v>331.8</v>
      </c>
      <c r="H17" s="177"/>
      <c r="I17" s="178"/>
      <c r="J17" s="179"/>
      <c r="L17" s="172"/>
    </row>
    <row r="18" spans="1:12" s="156" customFormat="1">
      <c r="A18" s="161">
        <v>11</v>
      </c>
      <c r="B18" s="161" t="s">
        <v>242</v>
      </c>
      <c r="C18" s="162" t="s">
        <v>223</v>
      </c>
      <c r="D18" s="161" t="s">
        <v>6</v>
      </c>
      <c r="E18" s="163">
        <v>1</v>
      </c>
      <c r="F18" s="164">
        <v>40.78</v>
      </c>
      <c r="G18" s="163">
        <f t="shared" ref="G18:G27" si="3">ROUND(E18*F18,2)</f>
        <v>40.78</v>
      </c>
      <c r="H18" s="177"/>
      <c r="I18" s="178"/>
      <c r="J18" s="179"/>
      <c r="L18" s="172"/>
    </row>
    <row r="19" spans="1:12" s="156" customFormat="1">
      <c r="A19" s="161">
        <v>12</v>
      </c>
      <c r="B19" s="161" t="s">
        <v>247</v>
      </c>
      <c r="C19" s="162" t="s">
        <v>229</v>
      </c>
      <c r="D19" s="161" t="s">
        <v>6</v>
      </c>
      <c r="E19" s="163">
        <f>1+1+1+1+1+1+1+1+1+1+1+1+1</f>
        <v>13</v>
      </c>
      <c r="F19" s="164">
        <v>73.459999999999994</v>
      </c>
      <c r="G19" s="163">
        <f t="shared" si="3"/>
        <v>954.98</v>
      </c>
      <c r="H19" s="181"/>
      <c r="I19" s="182"/>
      <c r="J19" s="179"/>
      <c r="L19" s="172"/>
    </row>
    <row r="20" spans="1:12" s="156" customFormat="1">
      <c r="A20" s="161">
        <v>13</v>
      </c>
      <c r="B20" s="161" t="s">
        <v>250</v>
      </c>
      <c r="C20" s="162" t="s">
        <v>230</v>
      </c>
      <c r="D20" s="161" t="s">
        <v>6</v>
      </c>
      <c r="E20" s="163">
        <f>2+4</f>
        <v>6</v>
      </c>
      <c r="F20" s="164">
        <v>73.459999999999994</v>
      </c>
      <c r="G20" s="163">
        <f t="shared" si="3"/>
        <v>440.76</v>
      </c>
      <c r="H20" s="177"/>
      <c r="I20" s="178"/>
      <c r="J20" s="179"/>
      <c r="L20" s="172"/>
    </row>
    <row r="21" spans="1:12" s="156" customFormat="1">
      <c r="A21" s="161">
        <v>14</v>
      </c>
      <c r="B21" s="161" t="s">
        <v>243</v>
      </c>
      <c r="C21" s="162" t="s">
        <v>231</v>
      </c>
      <c r="D21" s="161" t="s">
        <v>6</v>
      </c>
      <c r="E21" s="163">
        <f>10+9+1</f>
        <v>20</v>
      </c>
      <c r="F21" s="164">
        <v>73.459999999999994</v>
      </c>
      <c r="G21" s="163">
        <f t="shared" si="3"/>
        <v>1469.2</v>
      </c>
      <c r="H21" s="177"/>
      <c r="I21" s="178"/>
      <c r="J21" s="179"/>
      <c r="L21" s="172"/>
    </row>
    <row r="22" spans="1:12" s="156" customFormat="1">
      <c r="A22" s="161">
        <v>15</v>
      </c>
      <c r="B22" s="161" t="s">
        <v>253</v>
      </c>
      <c r="C22" s="162" t="s">
        <v>232</v>
      </c>
      <c r="D22" s="161" t="s">
        <v>6</v>
      </c>
      <c r="E22" s="163">
        <f>1+1+1+1</f>
        <v>4</v>
      </c>
      <c r="F22" s="164">
        <v>73.459999999999994</v>
      </c>
      <c r="G22" s="163">
        <f t="shared" si="3"/>
        <v>293.83999999999997</v>
      </c>
      <c r="H22" s="177"/>
      <c r="I22" s="178"/>
      <c r="J22" s="179"/>
      <c r="L22" s="172"/>
    </row>
    <row r="23" spans="1:12" s="156" customFormat="1">
      <c r="A23" s="161">
        <v>16</v>
      </c>
      <c r="B23" s="161" t="s">
        <v>251</v>
      </c>
      <c r="C23" s="162" t="s">
        <v>233</v>
      </c>
      <c r="D23" s="161" t="s">
        <v>6</v>
      </c>
      <c r="E23" s="163">
        <f>1+1+1+1</f>
        <v>4</v>
      </c>
      <c r="F23" s="164">
        <v>73.459999999999994</v>
      </c>
      <c r="G23" s="163">
        <f t="shared" si="3"/>
        <v>293.83999999999997</v>
      </c>
      <c r="H23" s="177"/>
      <c r="I23" s="178"/>
      <c r="J23" s="179"/>
      <c r="L23" s="172"/>
    </row>
    <row r="24" spans="1:12" s="156" customFormat="1">
      <c r="A24" s="161">
        <v>17</v>
      </c>
      <c r="B24" s="161" t="s">
        <v>244</v>
      </c>
      <c r="C24" s="162" t="s">
        <v>234</v>
      </c>
      <c r="D24" s="161" t="s">
        <v>6</v>
      </c>
      <c r="E24" s="163">
        <f>8+1</f>
        <v>9</v>
      </c>
      <c r="F24" s="164">
        <v>94.44</v>
      </c>
      <c r="G24" s="163">
        <f t="shared" si="3"/>
        <v>849.96</v>
      </c>
      <c r="H24" s="181"/>
      <c r="I24" s="182"/>
      <c r="J24" s="179"/>
      <c r="L24" s="280"/>
    </row>
    <row r="25" spans="1:12" s="156" customFormat="1">
      <c r="A25" s="161">
        <v>18</v>
      </c>
      <c r="B25" s="161" t="s">
        <v>256</v>
      </c>
      <c r="C25" s="162" t="s">
        <v>235</v>
      </c>
      <c r="D25" s="161" t="s">
        <v>6</v>
      </c>
      <c r="E25" s="163">
        <v>1</v>
      </c>
      <c r="F25" s="164">
        <v>94.44</v>
      </c>
      <c r="G25" s="163">
        <f t="shared" si="3"/>
        <v>94.44</v>
      </c>
      <c r="H25" s="177"/>
      <c r="I25" s="178"/>
      <c r="J25" s="179"/>
      <c r="L25" s="280"/>
    </row>
    <row r="26" spans="1:12" s="156" customFormat="1">
      <c r="A26" s="161">
        <v>19</v>
      </c>
      <c r="B26" s="161" t="s">
        <v>241</v>
      </c>
      <c r="C26" s="162" t="s">
        <v>222</v>
      </c>
      <c r="D26" s="161" t="s">
        <v>6</v>
      </c>
      <c r="E26" s="163">
        <f>1+2</f>
        <v>3</v>
      </c>
      <c r="F26" s="164">
        <v>94.44</v>
      </c>
      <c r="G26" s="163">
        <f t="shared" si="3"/>
        <v>283.32</v>
      </c>
      <c r="H26" s="177"/>
      <c r="I26" s="178"/>
      <c r="J26" s="179"/>
      <c r="L26" s="280"/>
    </row>
    <row r="27" spans="1:12" s="156" customFormat="1">
      <c r="A27" s="161">
        <v>20</v>
      </c>
      <c r="B27" s="161" t="s">
        <v>245</v>
      </c>
      <c r="C27" s="162" t="s">
        <v>236</v>
      </c>
      <c r="D27" s="161" t="s">
        <v>6</v>
      </c>
      <c r="E27" s="163">
        <v>2</v>
      </c>
      <c r="F27" s="164">
        <v>264.99</v>
      </c>
      <c r="G27" s="163">
        <f t="shared" si="3"/>
        <v>529.98</v>
      </c>
      <c r="H27" s="181"/>
      <c r="I27" s="182"/>
      <c r="J27" s="179"/>
      <c r="L27" s="172"/>
    </row>
    <row r="28" spans="1:12" s="156" customFormat="1">
      <c r="A28" s="161">
        <v>21</v>
      </c>
      <c r="B28" s="161" t="s">
        <v>262</v>
      </c>
      <c r="C28" s="162" t="s">
        <v>237</v>
      </c>
      <c r="D28" s="161" t="s">
        <v>6</v>
      </c>
      <c r="E28" s="163">
        <v>1</v>
      </c>
      <c r="F28" s="164">
        <v>2003.7</v>
      </c>
      <c r="G28" s="163">
        <f t="shared" ref="G28:G47" si="4">ROUND(E28*F28,2)</f>
        <v>2003.7</v>
      </c>
      <c r="H28" s="174"/>
      <c r="I28" s="176"/>
      <c r="J28" s="176"/>
      <c r="L28" s="172"/>
    </row>
    <row r="29" spans="1:12" s="156" customFormat="1">
      <c r="A29" s="161">
        <v>22</v>
      </c>
      <c r="B29" s="161" t="s">
        <v>263</v>
      </c>
      <c r="C29" s="162" t="s">
        <v>238</v>
      </c>
      <c r="D29" s="161" t="s">
        <v>6</v>
      </c>
      <c r="E29" s="163">
        <f>1+1</f>
        <v>2</v>
      </c>
      <c r="F29" s="164">
        <v>1221.55</v>
      </c>
      <c r="G29" s="163">
        <f t="shared" si="4"/>
        <v>2443.1</v>
      </c>
      <c r="H29" s="174"/>
      <c r="I29" s="176"/>
      <c r="J29" s="176"/>
      <c r="L29" s="172"/>
    </row>
    <row r="30" spans="1:12" s="156" customFormat="1">
      <c r="A30" s="161">
        <v>23</v>
      </c>
      <c r="B30" s="161" t="s">
        <v>240</v>
      </c>
      <c r="C30" s="162" t="s">
        <v>221</v>
      </c>
      <c r="D30" s="161" t="s">
        <v>6</v>
      </c>
      <c r="E30" s="163">
        <f>4+4+4+4+4+4+4+4+4+4+4+4+4+4+4+4+4+4+4+4+4+4</f>
        <v>88</v>
      </c>
      <c r="F30" s="164">
        <v>221.37</v>
      </c>
      <c r="G30" s="163">
        <f t="shared" si="4"/>
        <v>19480.560000000001</v>
      </c>
      <c r="H30" s="181"/>
      <c r="I30" s="182"/>
      <c r="J30" s="179"/>
    </row>
    <row r="31" spans="1:12" s="156" customFormat="1">
      <c r="A31" s="161">
        <v>24</v>
      </c>
      <c r="B31" s="161"/>
      <c r="C31" s="162" t="s">
        <v>239</v>
      </c>
      <c r="D31" s="161" t="s">
        <v>6</v>
      </c>
      <c r="E31" s="163">
        <f>4+4+1+2+1+5+3+4+4+4+2</f>
        <v>34</v>
      </c>
      <c r="F31" s="164">
        <f>G32+G33+G34</f>
        <v>169.46</v>
      </c>
      <c r="G31" s="163">
        <f t="shared" si="4"/>
        <v>5761.64</v>
      </c>
      <c r="H31" s="165"/>
      <c r="L31" s="172"/>
    </row>
    <row r="32" spans="1:12" s="156" customFormat="1">
      <c r="A32" s="161" t="s">
        <v>268</v>
      </c>
      <c r="B32" s="161" t="s">
        <v>62</v>
      </c>
      <c r="C32" s="162" t="s">
        <v>239</v>
      </c>
      <c r="D32" s="161" t="s">
        <v>6</v>
      </c>
      <c r="E32" s="163">
        <v>1</v>
      </c>
      <c r="F32" s="164">
        <v>140.31</v>
      </c>
      <c r="G32" s="163">
        <f t="shared" ref="G32" si="5">ROUND(E32*F32,2)</f>
        <v>140.31</v>
      </c>
      <c r="H32" s="165" t="s">
        <v>271</v>
      </c>
      <c r="L32" s="172"/>
    </row>
    <row r="33" spans="1:12" s="156" customFormat="1" ht="31.5">
      <c r="A33" s="161" t="s">
        <v>269</v>
      </c>
      <c r="B33" s="161" t="s">
        <v>198</v>
      </c>
      <c r="C33" s="162" t="s">
        <v>200</v>
      </c>
      <c r="D33" s="161" t="s">
        <v>16</v>
      </c>
      <c r="E33" s="163">
        <f>0.39*2</f>
        <v>0.78</v>
      </c>
      <c r="F33" s="164">
        <v>13.69</v>
      </c>
      <c r="G33" s="163">
        <f t="shared" si="4"/>
        <v>10.68</v>
      </c>
      <c r="H33" s="165"/>
      <c r="L33" s="172"/>
    </row>
    <row r="34" spans="1:12" s="156" customFormat="1">
      <c r="A34" s="161" t="s">
        <v>270</v>
      </c>
      <c r="B34" s="161" t="s">
        <v>199</v>
      </c>
      <c r="C34" s="162" t="s">
        <v>184</v>
      </c>
      <c r="D34" s="161" t="s">
        <v>16</v>
      </c>
      <c r="E34" s="163">
        <f>(0.39+0.124)*2</f>
        <v>1.028</v>
      </c>
      <c r="F34" s="164">
        <v>17.97</v>
      </c>
      <c r="G34" s="163">
        <f t="shared" ref="G34" si="6">ROUND(E34*F34,2)</f>
        <v>18.47</v>
      </c>
      <c r="H34" s="165"/>
      <c r="L34" s="172"/>
    </row>
    <row r="35" spans="1:12" s="156" customFormat="1">
      <c r="A35" s="161">
        <v>25</v>
      </c>
      <c r="B35" s="161"/>
      <c r="C35" s="162" t="s">
        <v>224</v>
      </c>
      <c r="D35" s="161" t="s">
        <v>6</v>
      </c>
      <c r="E35" s="163">
        <f>1+1</f>
        <v>2</v>
      </c>
      <c r="F35" s="164">
        <f>G36+G37+G38</f>
        <v>330.22</v>
      </c>
      <c r="G35" s="163">
        <f t="shared" si="4"/>
        <v>660.44</v>
      </c>
      <c r="H35" s="165"/>
    </row>
    <row r="36" spans="1:12" s="156" customFormat="1">
      <c r="A36" s="161" t="s">
        <v>272</v>
      </c>
      <c r="B36" s="161" t="s">
        <v>62</v>
      </c>
      <c r="C36" s="162" t="s">
        <v>224</v>
      </c>
      <c r="D36" s="161" t="s">
        <v>6</v>
      </c>
      <c r="E36" s="163">
        <v>1</v>
      </c>
      <c r="F36" s="164">
        <v>271.91000000000003</v>
      </c>
      <c r="G36" s="163">
        <f t="shared" si="4"/>
        <v>271.91000000000003</v>
      </c>
      <c r="H36" s="165" t="s">
        <v>271</v>
      </c>
      <c r="L36" s="172"/>
    </row>
    <row r="37" spans="1:12" s="156" customFormat="1" ht="31.5">
      <c r="A37" s="161" t="s">
        <v>273</v>
      </c>
      <c r="B37" s="161" t="s">
        <v>198</v>
      </c>
      <c r="C37" s="162" t="s">
        <v>200</v>
      </c>
      <c r="D37" s="161" t="s">
        <v>16</v>
      </c>
      <c r="E37" s="163">
        <f>0.39*4</f>
        <v>1.56</v>
      </c>
      <c r="F37" s="164">
        <v>13.69</v>
      </c>
      <c r="G37" s="163">
        <f t="shared" ref="G37:G38" si="7">ROUND(E37*F37,2)</f>
        <v>21.36</v>
      </c>
      <c r="H37" s="165"/>
      <c r="L37" s="172"/>
    </row>
    <row r="38" spans="1:12" s="156" customFormat="1">
      <c r="A38" s="161" t="s">
        <v>274</v>
      </c>
      <c r="B38" s="161" t="s">
        <v>199</v>
      </c>
      <c r="C38" s="162" t="s">
        <v>184</v>
      </c>
      <c r="D38" s="161" t="s">
        <v>16</v>
      </c>
      <c r="E38" s="163">
        <f>(0.39+0.124)*4</f>
        <v>2.056</v>
      </c>
      <c r="F38" s="164">
        <v>17.97</v>
      </c>
      <c r="G38" s="163">
        <f t="shared" si="7"/>
        <v>36.950000000000003</v>
      </c>
      <c r="H38" s="165"/>
      <c r="L38" s="172"/>
    </row>
    <row r="39" spans="1:12" s="156" customFormat="1" ht="63">
      <c r="A39" s="161">
        <v>26</v>
      </c>
      <c r="B39" s="161" t="s">
        <v>275</v>
      </c>
      <c r="C39" s="162" t="s">
        <v>276</v>
      </c>
      <c r="D39" s="161" t="s">
        <v>6</v>
      </c>
      <c r="E39" s="163">
        <v>1</v>
      </c>
      <c r="F39" s="164">
        <v>2293.61</v>
      </c>
      <c r="G39" s="163">
        <f t="shared" si="4"/>
        <v>2293.61</v>
      </c>
      <c r="H39" s="165"/>
    </row>
    <row r="40" spans="1:12" s="156" customFormat="1">
      <c r="A40" s="161" t="s">
        <v>277</v>
      </c>
      <c r="B40" s="161" t="s">
        <v>62</v>
      </c>
      <c r="C40" s="162" t="s">
        <v>225</v>
      </c>
      <c r="D40" s="161" t="s">
        <v>6</v>
      </c>
      <c r="E40" s="163">
        <v>1</v>
      </c>
      <c r="F40" s="164">
        <v>114.74</v>
      </c>
      <c r="G40" s="163">
        <f t="shared" ref="G40" si="8">ROUND(E40*F40,2)</f>
        <v>114.74</v>
      </c>
      <c r="H40" s="165" t="s">
        <v>285</v>
      </c>
    </row>
    <row r="41" spans="1:12" s="156" customFormat="1" ht="47.25">
      <c r="A41" s="161" t="s">
        <v>278</v>
      </c>
      <c r="B41" s="161" t="s">
        <v>283</v>
      </c>
      <c r="C41" s="162" t="s">
        <v>284</v>
      </c>
      <c r="D41" s="161" t="s">
        <v>27</v>
      </c>
      <c r="E41" s="173">
        <v>3.5000000000000001E-3</v>
      </c>
      <c r="F41" s="164">
        <v>401.13</v>
      </c>
      <c r="G41" s="163">
        <f t="shared" ref="G41:G42" si="9">ROUND(E41*F41,2)</f>
        <v>1.4</v>
      </c>
      <c r="H41" s="165"/>
    </row>
    <row r="42" spans="1:12" s="156" customFormat="1" ht="31.5">
      <c r="A42" s="161" t="s">
        <v>279</v>
      </c>
      <c r="B42" s="161" t="s">
        <v>198</v>
      </c>
      <c r="C42" s="162" t="s">
        <v>200</v>
      </c>
      <c r="D42" s="161" t="s">
        <v>16</v>
      </c>
      <c r="E42" s="163">
        <v>1.75</v>
      </c>
      <c r="F42" s="164">
        <v>13.69</v>
      </c>
      <c r="G42" s="163">
        <f t="shared" si="9"/>
        <v>23.96</v>
      </c>
      <c r="H42" s="165"/>
    </row>
    <row r="43" spans="1:12" s="156" customFormat="1">
      <c r="A43" s="161" t="s">
        <v>280</v>
      </c>
      <c r="B43" s="161" t="s">
        <v>199</v>
      </c>
      <c r="C43" s="162" t="s">
        <v>184</v>
      </c>
      <c r="D43" s="161" t="s">
        <v>16</v>
      </c>
      <c r="E43" s="163">
        <v>1.75</v>
      </c>
      <c r="F43" s="164">
        <v>17.97</v>
      </c>
      <c r="G43" s="163">
        <f t="shared" ref="G43:G44" si="10">ROUND(E43*F43,2)</f>
        <v>31.45</v>
      </c>
      <c r="H43" s="165"/>
    </row>
    <row r="44" spans="1:12" s="156" customFormat="1">
      <c r="A44" s="161" t="s">
        <v>281</v>
      </c>
      <c r="B44" s="161" t="s">
        <v>206</v>
      </c>
      <c r="C44" s="162" t="s">
        <v>207</v>
      </c>
      <c r="D44" s="161" t="s">
        <v>16</v>
      </c>
      <c r="E44" s="163">
        <v>0.4</v>
      </c>
      <c r="F44" s="164">
        <v>17.79</v>
      </c>
      <c r="G44" s="163">
        <f t="shared" si="10"/>
        <v>7.12</v>
      </c>
      <c r="H44" s="165"/>
    </row>
    <row r="45" spans="1:12" s="156" customFormat="1">
      <c r="A45" s="161" t="s">
        <v>282</v>
      </c>
      <c r="B45" s="161" t="s">
        <v>205</v>
      </c>
      <c r="C45" s="162" t="s">
        <v>63</v>
      </c>
      <c r="D45" s="161" t="s">
        <v>16</v>
      </c>
      <c r="E45" s="163">
        <v>0.4</v>
      </c>
      <c r="F45" s="164">
        <v>12.88</v>
      </c>
      <c r="G45" s="163">
        <f t="shared" ref="G45" si="11">ROUND(E45*F45,2)</f>
        <v>5.15</v>
      </c>
      <c r="H45" s="165"/>
    </row>
    <row r="46" spans="1:12" s="156" customFormat="1" ht="31.5">
      <c r="A46" s="161">
        <v>28</v>
      </c>
      <c r="B46" s="161" t="s">
        <v>257</v>
      </c>
      <c r="C46" s="162" t="s">
        <v>258</v>
      </c>
      <c r="D46" s="161" t="s">
        <v>6</v>
      </c>
      <c r="E46" s="163">
        <v>1</v>
      </c>
      <c r="F46" s="164">
        <v>376.01</v>
      </c>
      <c r="G46" s="163">
        <f t="shared" si="4"/>
        <v>376.01</v>
      </c>
      <c r="H46" s="180"/>
      <c r="I46" s="175"/>
      <c r="J46" s="176"/>
      <c r="K46" s="176"/>
      <c r="L46" s="175"/>
    </row>
    <row r="47" spans="1:12" s="156" customFormat="1" ht="47.25">
      <c r="A47" s="161">
        <v>29</v>
      </c>
      <c r="B47" s="161" t="s">
        <v>246</v>
      </c>
      <c r="C47" s="162" t="s">
        <v>261</v>
      </c>
      <c r="D47" s="161" t="s">
        <v>6</v>
      </c>
      <c r="E47" s="163">
        <f>1+1+1+1+1+1+1+1+1+1+1+1+1+1+1+1+1+1+1</f>
        <v>19</v>
      </c>
      <c r="F47" s="164">
        <v>341.06</v>
      </c>
      <c r="G47" s="163">
        <f t="shared" si="4"/>
        <v>6480.14</v>
      </c>
      <c r="H47" s="179"/>
      <c r="I47" s="178"/>
      <c r="J47" s="179"/>
      <c r="K47" s="179"/>
      <c r="L47" s="175"/>
    </row>
    <row r="48" spans="1:12" s="156" customFormat="1" ht="31.5">
      <c r="A48" s="161">
        <v>30</v>
      </c>
      <c r="B48" s="161" t="s">
        <v>249</v>
      </c>
      <c r="C48" s="162" t="s">
        <v>260</v>
      </c>
      <c r="D48" s="161" t="s">
        <v>6</v>
      </c>
      <c r="E48" s="163">
        <f>1+1+1+1</f>
        <v>4</v>
      </c>
      <c r="F48" s="164">
        <v>295.38</v>
      </c>
      <c r="G48" s="163">
        <f t="shared" ref="G48:G49" si="12">ROUND(E48*F48,2)</f>
        <v>1181.52</v>
      </c>
      <c r="H48" s="179"/>
      <c r="I48" s="178"/>
      <c r="J48" s="179"/>
      <c r="K48" s="179"/>
      <c r="L48" s="175"/>
    </row>
    <row r="49" spans="1:12" s="156" customFormat="1" ht="31.5">
      <c r="A49" s="161">
        <v>31</v>
      </c>
      <c r="B49" s="161" t="s">
        <v>255</v>
      </c>
      <c r="C49" s="162" t="s">
        <v>259</v>
      </c>
      <c r="D49" s="161" t="s">
        <v>6</v>
      </c>
      <c r="E49" s="163">
        <v>1</v>
      </c>
      <c r="F49" s="164">
        <v>659.61</v>
      </c>
      <c r="G49" s="163">
        <f t="shared" si="12"/>
        <v>659.61</v>
      </c>
      <c r="H49" s="179"/>
      <c r="I49" s="178"/>
      <c r="J49" s="179"/>
      <c r="K49" s="176"/>
      <c r="L49" s="175"/>
    </row>
    <row r="50" spans="1:12" s="156" customFormat="1">
      <c r="B50" s="166"/>
      <c r="G50" s="167"/>
      <c r="H50" s="165"/>
    </row>
    <row r="51" spans="1:12" s="156" customFormat="1">
      <c r="B51" s="166"/>
      <c r="G51" s="167"/>
      <c r="H51" s="165"/>
    </row>
    <row r="52" spans="1:12" s="156" customFormat="1">
      <c r="B52" s="166"/>
      <c r="G52" s="167"/>
      <c r="H52" s="165"/>
    </row>
    <row r="53" spans="1:12" s="156" customFormat="1">
      <c r="B53" s="166"/>
      <c r="G53" s="167"/>
      <c r="H53" s="165"/>
    </row>
    <row r="54" spans="1:12" s="156" customFormat="1">
      <c r="B54" s="166"/>
      <c r="G54" s="167"/>
      <c r="H54" s="165"/>
    </row>
    <row r="55" spans="1:12" s="156" customFormat="1">
      <c r="B55" s="166"/>
      <c r="G55" s="167"/>
      <c r="H55" s="165"/>
    </row>
    <row r="56" spans="1:12" s="156" customFormat="1">
      <c r="B56" s="166"/>
      <c r="G56" s="167"/>
      <c r="H56" s="165"/>
    </row>
    <row r="57" spans="1:12" s="156" customFormat="1">
      <c r="B57" s="166"/>
      <c r="G57" s="167"/>
      <c r="H57" s="165"/>
    </row>
    <row r="58" spans="1:12" s="156" customFormat="1">
      <c r="B58" s="166"/>
      <c r="G58" s="167"/>
      <c r="H58" s="165"/>
    </row>
    <row r="59" spans="1:12" s="156" customFormat="1">
      <c r="B59" s="166"/>
      <c r="G59" s="167"/>
      <c r="H59" s="165"/>
    </row>
    <row r="60" spans="1:12" s="156" customFormat="1">
      <c r="B60" s="166"/>
      <c r="G60" s="167"/>
      <c r="H60" s="165"/>
    </row>
    <row r="61" spans="1:12" s="156" customFormat="1">
      <c r="B61" s="166"/>
      <c r="G61" s="167"/>
      <c r="H61" s="165"/>
    </row>
    <row r="62" spans="1:12" s="156" customFormat="1">
      <c r="B62" s="166"/>
      <c r="G62" s="167"/>
      <c r="H62" s="165"/>
    </row>
    <row r="63" spans="1:12" s="156" customFormat="1">
      <c r="B63" s="166"/>
      <c r="G63" s="167"/>
      <c r="H63" s="165"/>
    </row>
    <row r="64" spans="1:12" s="156" customFormat="1">
      <c r="B64" s="166"/>
      <c r="G64" s="167"/>
      <c r="H64" s="165"/>
    </row>
    <row r="65" spans="2:8" s="156" customFormat="1">
      <c r="B65" s="166"/>
      <c r="G65" s="167"/>
      <c r="H65" s="165"/>
    </row>
    <row r="66" spans="2:8" s="156" customFormat="1">
      <c r="B66" s="166"/>
      <c r="G66" s="167"/>
      <c r="H66" s="165"/>
    </row>
    <row r="67" spans="2:8" s="156" customFormat="1">
      <c r="B67" s="166"/>
      <c r="G67" s="167"/>
      <c r="H67" s="165"/>
    </row>
    <row r="68" spans="2:8" s="156" customFormat="1">
      <c r="B68" s="166"/>
      <c r="G68" s="167"/>
      <c r="H68" s="165"/>
    </row>
    <row r="69" spans="2:8" s="156" customFormat="1">
      <c r="B69" s="166"/>
      <c r="G69" s="167"/>
      <c r="H69" s="165"/>
    </row>
    <row r="70" spans="2:8" s="156" customFormat="1">
      <c r="B70" s="166"/>
      <c r="G70" s="167"/>
      <c r="H70" s="165"/>
    </row>
    <row r="71" spans="2:8" s="156" customFormat="1">
      <c r="B71" s="166"/>
      <c r="G71" s="167"/>
      <c r="H71" s="165"/>
    </row>
    <row r="72" spans="2:8" s="156" customFormat="1">
      <c r="B72" s="166"/>
      <c r="G72" s="167"/>
      <c r="H72" s="165"/>
    </row>
    <row r="73" spans="2:8" s="156" customFormat="1">
      <c r="B73" s="166"/>
      <c r="G73" s="167"/>
      <c r="H73" s="165"/>
    </row>
    <row r="74" spans="2:8" s="156" customFormat="1">
      <c r="B74" s="166"/>
      <c r="G74" s="167"/>
      <c r="H74" s="165"/>
    </row>
    <row r="75" spans="2:8" s="156" customFormat="1">
      <c r="B75" s="166"/>
      <c r="G75" s="167"/>
      <c r="H75" s="165"/>
    </row>
  </sheetData>
  <mergeCells count="11">
    <mergeCell ref="L24:L26"/>
    <mergeCell ref="B5:F5"/>
    <mergeCell ref="A1:G1"/>
    <mergeCell ref="A2:G2"/>
    <mergeCell ref="A3:A4"/>
    <mergeCell ref="B3:B4"/>
    <mergeCell ref="C3:C4"/>
    <mergeCell ref="D3:D4"/>
    <mergeCell ref="E3:E4"/>
    <mergeCell ref="F3:F4"/>
    <mergeCell ref="G3:G4"/>
  </mergeCells>
  <printOptions horizontalCentered="1"/>
  <pageMargins left="0.59055118110236227" right="0.39370078740157483" top="1.0236220472440944" bottom="0.59055118110236227" header="0.39370078740157483" footer="0.31496062992125984"/>
  <pageSetup paperSize="9" scale="61" orientation="portrait" horizontalDpi="4294967295" r:id="rId1"/>
  <headerFooter alignWithMargins="0"/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ORÇAMENTO</vt:lpstr>
      <vt:lpstr>C.F.F GERAL </vt:lpstr>
      <vt:lpstr>BASE</vt:lpstr>
      <vt:lpstr>BASE!Area_de_impressao</vt:lpstr>
      <vt:lpstr>'C.F.F GERAL '!Area_de_impressao</vt:lpstr>
      <vt:lpstr>ORÇAMENTO!Area_de_impressao</vt:lpstr>
      <vt:lpstr>'C.F.F GERAL '!Titulos_de_impressao</vt:lpstr>
      <vt:lpstr>ORÇAMENTO!Titulos_de_impressao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.</cp:lastModifiedBy>
  <cp:lastPrinted>2020-12-03T12:57:00Z</cp:lastPrinted>
  <dcterms:created xsi:type="dcterms:W3CDTF">2017-12-18T22:00:31Z</dcterms:created>
  <dcterms:modified xsi:type="dcterms:W3CDTF">2020-12-03T13:03:00Z</dcterms:modified>
</cp:coreProperties>
</file>